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Progetto sismica --\progetto sismica\"/>
    </mc:Choice>
  </mc:AlternateContent>
  <bookViews>
    <workbookView xWindow="240" yWindow="60" windowWidth="20055" windowHeight="7950" activeTab="1"/>
  </bookViews>
  <sheets>
    <sheet name="analisi dei carichi" sheetId="1" r:id="rId1"/>
    <sheet name="masse e forze" sheetId="3" r:id="rId2"/>
    <sheet name="rigidezze" sheetId="4" r:id="rId3"/>
    <sheet name="rig piano tipo" sheetId="5" r:id="rId4"/>
    <sheet name="rig piano terra" sheetId="6" r:id="rId5"/>
    <sheet name="rig terrazza" sheetId="7" r:id="rId6"/>
    <sheet name="rig p.5" sheetId="8" r:id="rId7"/>
    <sheet name="Trave 115" sheetId="9" r:id="rId8"/>
    <sheet name="Fx" sheetId="10" r:id="rId9"/>
    <sheet name="Fy" sheetId="11" r:id="rId10"/>
    <sheet name="Confronto p-s err" sheetId="12" r:id="rId11"/>
    <sheet name="spostamenti x y " sheetId="13" r:id="rId12"/>
    <sheet name="Confronto p-s-m err" sheetId="1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_FilterDatabase" localSheetId="10" hidden="1">'Confronto p-s err'!$F$96:$F$104</definedName>
  </definedNames>
  <calcPr calcId="152511"/>
</workbook>
</file>

<file path=xl/calcChain.xml><?xml version="1.0" encoding="utf-8"?>
<calcChain xmlns="http://schemas.openxmlformats.org/spreadsheetml/2006/main">
  <c r="N9" i="3" l="1"/>
  <c r="O9" i="3"/>
  <c r="B36" i="4"/>
  <c r="B5" i="3" l="1"/>
  <c r="B3" i="10" l="1"/>
  <c r="B4" i="10"/>
  <c r="B5" i="10"/>
  <c r="B2" i="10"/>
  <c r="B3" i="11" l="1"/>
  <c r="B4" i="11"/>
  <c r="B5" i="11"/>
  <c r="B2" i="11"/>
  <c r="L16" i="14" l="1"/>
  <c r="M16" i="14"/>
  <c r="L15" i="14"/>
  <c r="M15" i="14"/>
  <c r="L14" i="14"/>
  <c r="M14" i="14"/>
  <c r="L13" i="14"/>
  <c r="M13" i="14"/>
  <c r="L12" i="14"/>
  <c r="M12" i="14"/>
  <c r="L11" i="14"/>
  <c r="M11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I8" i="14"/>
  <c r="I24" i="14"/>
  <c r="I7" i="14"/>
  <c r="I23" i="14"/>
  <c r="I6" i="14"/>
  <c r="I22" i="14"/>
  <c r="I5" i="14"/>
  <c r="I21" i="14"/>
  <c r="I4" i="14"/>
  <c r="I20" i="14"/>
  <c r="I3" i="14"/>
  <c r="I19" i="14"/>
  <c r="I2" i="14"/>
  <c r="E8" i="14"/>
  <c r="E24" i="14"/>
  <c r="E7" i="14"/>
  <c r="E23" i="14"/>
  <c r="E6" i="14"/>
  <c r="E22" i="14"/>
  <c r="E5" i="14"/>
  <c r="E21" i="14"/>
  <c r="E4" i="14"/>
  <c r="E20" i="14"/>
  <c r="E3" i="14"/>
  <c r="E19" i="14"/>
  <c r="E2" i="14"/>
  <c r="K52" i="12" l="1"/>
  <c r="K51" i="12"/>
  <c r="J52" i="12" l="1"/>
  <c r="L52" i="12" s="1"/>
  <c r="M52" i="12" s="1"/>
  <c r="J51" i="12"/>
  <c r="L51" i="12" s="1"/>
  <c r="M51" i="12" s="1"/>
  <c r="L27" i="4" l="1"/>
  <c r="K27" i="4"/>
  <c r="J27" i="4"/>
  <c r="K26" i="4"/>
  <c r="J26" i="4"/>
  <c r="L21" i="4"/>
  <c r="L20" i="4"/>
  <c r="K20" i="4"/>
  <c r="K19" i="4"/>
  <c r="J19" i="4"/>
  <c r="E52" i="12" l="1"/>
  <c r="B28" i="11"/>
  <c r="B28" i="10" l="1"/>
  <c r="I39" i="13" l="1"/>
  <c r="R27" i="13"/>
  <c r="Q27" i="13"/>
  <c r="P27" i="13"/>
  <c r="L27" i="13"/>
  <c r="K27" i="13"/>
  <c r="J27" i="13"/>
  <c r="Q26" i="13"/>
  <c r="P26" i="13"/>
  <c r="K26" i="13"/>
  <c r="J26" i="13"/>
  <c r="A26" i="13"/>
  <c r="B22" i="13"/>
  <c r="A22" i="13"/>
  <c r="R21" i="13"/>
  <c r="L21" i="13"/>
  <c r="B21" i="13"/>
  <c r="A21" i="13"/>
  <c r="R20" i="13"/>
  <c r="Q20" i="13"/>
  <c r="L20" i="13"/>
  <c r="K20" i="13"/>
  <c r="B20" i="13"/>
  <c r="A20" i="13"/>
  <c r="Q19" i="13"/>
  <c r="P19" i="13"/>
  <c r="K19" i="13"/>
  <c r="J19" i="13"/>
  <c r="L13" i="13"/>
  <c r="K13" i="13"/>
  <c r="J13" i="13"/>
  <c r="G13" i="13"/>
  <c r="F13" i="13"/>
  <c r="E13" i="13"/>
  <c r="K12" i="13"/>
  <c r="J12" i="13"/>
  <c r="F12" i="13"/>
  <c r="E12" i="13"/>
  <c r="L7" i="13"/>
  <c r="G7" i="13"/>
  <c r="L6" i="13"/>
  <c r="K6" i="13"/>
  <c r="G6" i="13"/>
  <c r="F6" i="13"/>
  <c r="K5" i="13"/>
  <c r="J5" i="13"/>
  <c r="F5" i="13"/>
  <c r="E5" i="13"/>
  <c r="F19" i="13" l="1"/>
  <c r="F18" i="13"/>
  <c r="E18" i="13"/>
  <c r="E22" i="13"/>
  <c r="F23" i="13"/>
  <c r="F20" i="13"/>
  <c r="F22" i="13"/>
  <c r="E23" i="13"/>
  <c r="E19" i="13"/>
  <c r="E20" i="13"/>
  <c r="E21" i="13"/>
  <c r="F21" i="13"/>
  <c r="F56" i="11"/>
  <c r="E56" i="11"/>
  <c r="B49" i="11"/>
  <c r="D22" i="11"/>
  <c r="H15" i="11" s="1"/>
  <c r="H14" i="11" s="1"/>
  <c r="H13" i="11" s="1"/>
  <c r="H12" i="11" s="1"/>
  <c r="H11" i="11" s="1"/>
  <c r="H10" i="11" s="1"/>
  <c r="B20" i="11"/>
  <c r="N15" i="11"/>
  <c r="B15" i="11"/>
  <c r="D15" i="11" s="1"/>
  <c r="N14" i="11"/>
  <c r="B14" i="11"/>
  <c r="D14" i="11" s="1"/>
  <c r="N13" i="11"/>
  <c r="B13" i="11"/>
  <c r="D13" i="11" s="1"/>
  <c r="N12" i="11"/>
  <c r="B12" i="11"/>
  <c r="D12" i="11" s="1"/>
  <c r="N11" i="11"/>
  <c r="B11" i="11"/>
  <c r="D11" i="11" s="1"/>
  <c r="N10" i="11"/>
  <c r="F7" i="11"/>
  <c r="B10" i="11" s="1"/>
  <c r="D10" i="11" s="1"/>
  <c r="F56" i="10"/>
  <c r="E56" i="10"/>
  <c r="B49" i="10"/>
  <c r="D22" i="10"/>
  <c r="H15" i="10" s="1"/>
  <c r="H14" i="10" s="1"/>
  <c r="H13" i="10" s="1"/>
  <c r="H12" i="10" s="1"/>
  <c r="H11" i="10" s="1"/>
  <c r="H10" i="10" s="1"/>
  <c r="B20" i="10"/>
  <c r="N15" i="10"/>
  <c r="B15" i="10"/>
  <c r="D15" i="10" s="1"/>
  <c r="N14" i="10"/>
  <c r="B14" i="10"/>
  <c r="D14" i="10" s="1"/>
  <c r="N13" i="10"/>
  <c r="B13" i="10"/>
  <c r="D13" i="10" s="1"/>
  <c r="N12" i="10"/>
  <c r="B12" i="10"/>
  <c r="D12" i="10" s="1"/>
  <c r="N11" i="10"/>
  <c r="B11" i="10"/>
  <c r="D11" i="10" s="1"/>
  <c r="N10" i="10"/>
  <c r="F7" i="10"/>
  <c r="B10" i="10" s="1"/>
  <c r="D10" i="10" s="1"/>
  <c r="E10" i="11" l="1"/>
  <c r="D16" i="11"/>
  <c r="B23" i="11" s="1"/>
  <c r="I10" i="11"/>
  <c r="E12" i="11"/>
  <c r="I12" i="11"/>
  <c r="E14" i="11"/>
  <c r="I14" i="11"/>
  <c r="E11" i="11"/>
  <c r="I11" i="11"/>
  <c r="I13" i="11"/>
  <c r="E13" i="11"/>
  <c r="I15" i="11"/>
  <c r="E15" i="11"/>
  <c r="I10" i="10"/>
  <c r="E10" i="10"/>
  <c r="D16" i="10"/>
  <c r="B23" i="10" s="1"/>
  <c r="E14" i="10"/>
  <c r="I14" i="10"/>
  <c r="E13" i="10"/>
  <c r="I13" i="10"/>
  <c r="I12" i="10"/>
  <c r="E12" i="10"/>
  <c r="I11" i="10"/>
  <c r="E11" i="10"/>
  <c r="I15" i="10"/>
  <c r="E15" i="10"/>
  <c r="E16" i="11" l="1"/>
  <c r="I16" i="11"/>
  <c r="J13" i="11" s="1"/>
  <c r="E16" i="10"/>
  <c r="I16" i="10"/>
  <c r="J13" i="10" s="1"/>
  <c r="L13" i="4"/>
  <c r="K13" i="4"/>
  <c r="J13" i="4"/>
  <c r="K12" i="4"/>
  <c r="J12" i="4"/>
  <c r="L6" i="4"/>
  <c r="J14" i="10" l="1"/>
  <c r="D38" i="12" s="1"/>
  <c r="I35" i="13"/>
  <c r="D37" i="12"/>
  <c r="J35" i="13"/>
  <c r="E37" i="12"/>
  <c r="J15" i="10"/>
  <c r="J12" i="10"/>
  <c r="J14" i="11"/>
  <c r="J11" i="10"/>
  <c r="J12" i="11"/>
  <c r="J11" i="11"/>
  <c r="J10" i="11"/>
  <c r="J32" i="13" s="1"/>
  <c r="J15" i="11"/>
  <c r="J10" i="10"/>
  <c r="N72" i="1"/>
  <c r="F41" i="1"/>
  <c r="B49" i="9"/>
  <c r="B28" i="9"/>
  <c r="D22" i="9"/>
  <c r="B20" i="9"/>
  <c r="B21" i="9" s="1"/>
  <c r="N15" i="9"/>
  <c r="H15" i="9"/>
  <c r="H14" i="9" s="1"/>
  <c r="H13" i="9" s="1"/>
  <c r="H12" i="9" s="1"/>
  <c r="H11" i="9" s="1"/>
  <c r="H10" i="9" s="1"/>
  <c r="B15" i="9"/>
  <c r="D15" i="9" s="1"/>
  <c r="N14" i="9"/>
  <c r="B14" i="9"/>
  <c r="D14" i="9" s="1"/>
  <c r="N13" i="9"/>
  <c r="B13" i="9"/>
  <c r="D13" i="9" s="1"/>
  <c r="N12" i="9"/>
  <c r="B12" i="9"/>
  <c r="D12" i="9" s="1"/>
  <c r="N11" i="9"/>
  <c r="B11" i="9"/>
  <c r="D11" i="9" s="1"/>
  <c r="N10" i="9"/>
  <c r="F7" i="9"/>
  <c r="B10" i="9" s="1"/>
  <c r="D10" i="9" s="1"/>
  <c r="I36" i="13" l="1"/>
  <c r="E34" i="12"/>
  <c r="D34" i="12"/>
  <c r="J33" i="13"/>
  <c r="E35" i="12"/>
  <c r="I34" i="13"/>
  <c r="D36" i="12"/>
  <c r="J34" i="13"/>
  <c r="E36" i="12"/>
  <c r="I37" i="13"/>
  <c r="D39" i="12"/>
  <c r="J37" i="13"/>
  <c r="E39" i="12"/>
  <c r="I33" i="13"/>
  <c r="D35" i="12"/>
  <c r="J36" i="13"/>
  <c r="E38" i="12"/>
  <c r="K10" i="11"/>
  <c r="H22" i="11" s="1"/>
  <c r="H33" i="11" s="1"/>
  <c r="K10" i="10"/>
  <c r="K11" i="10" s="1"/>
  <c r="I32" i="13"/>
  <c r="E11" i="9"/>
  <c r="I11" i="9"/>
  <c r="E15" i="9"/>
  <c r="I15" i="9"/>
  <c r="E14" i="9"/>
  <c r="I14" i="9"/>
  <c r="E10" i="9"/>
  <c r="D16" i="9"/>
  <c r="B23" i="9" s="1"/>
  <c r="I10" i="9"/>
  <c r="E13" i="9"/>
  <c r="I13" i="9"/>
  <c r="E12" i="9"/>
  <c r="I12" i="9"/>
  <c r="Q19" i="4"/>
  <c r="K11" i="11" l="1"/>
  <c r="I41" i="13" s="1"/>
  <c r="B38" i="13" s="1"/>
  <c r="H22" i="10"/>
  <c r="H33" i="10" s="1"/>
  <c r="A28" i="13"/>
  <c r="B28" i="13" s="1"/>
  <c r="A27" i="13"/>
  <c r="B27" i="13" s="1"/>
  <c r="I40" i="13"/>
  <c r="B37" i="13" s="1"/>
  <c r="H23" i="10"/>
  <c r="H34" i="10" s="1"/>
  <c r="K12" i="10"/>
  <c r="I16" i="9"/>
  <c r="J14" i="9" s="1"/>
  <c r="E16" i="9"/>
  <c r="I60" i="4"/>
  <c r="J60" i="4"/>
  <c r="J58" i="4"/>
  <c r="J59" i="4" s="1"/>
  <c r="I58" i="4"/>
  <c r="I59" i="4" s="1"/>
  <c r="J56" i="4"/>
  <c r="J57" i="4" s="1"/>
  <c r="I56" i="4"/>
  <c r="I57" i="4" s="1"/>
  <c r="J55" i="4"/>
  <c r="I55" i="4"/>
  <c r="D22" i="3"/>
  <c r="H15" i="3" s="1"/>
  <c r="H14" i="3" s="1"/>
  <c r="H13" i="3" s="1"/>
  <c r="H12" i="3" s="1"/>
  <c r="H11" i="3" s="1"/>
  <c r="H10" i="3" s="1"/>
  <c r="B28" i="3"/>
  <c r="B20" i="3"/>
  <c r="R27" i="4"/>
  <c r="G30" i="8" s="1"/>
  <c r="Q27" i="4"/>
  <c r="K30" i="8" s="1"/>
  <c r="T30" i="8" s="1"/>
  <c r="P27" i="4"/>
  <c r="N45" i="8" s="1"/>
  <c r="Q26" i="4"/>
  <c r="N37" i="8" s="1"/>
  <c r="P26" i="4"/>
  <c r="R21" i="4"/>
  <c r="D14" i="8" s="1"/>
  <c r="W9" i="8" s="1"/>
  <c r="R20" i="4"/>
  <c r="T17" i="8" s="1"/>
  <c r="G14" i="8" s="1"/>
  <c r="Q20" i="4"/>
  <c r="N9" i="8" s="1"/>
  <c r="Q9" i="8" s="1"/>
  <c r="Q17" i="8" s="1"/>
  <c r="D21" i="8"/>
  <c r="P19" i="4"/>
  <c r="T26" i="8" s="1"/>
  <c r="Q26" i="8" s="1"/>
  <c r="H23" i="11" l="1"/>
  <c r="H34" i="11" s="1"/>
  <c r="K12" i="11"/>
  <c r="K13" i="11" s="1"/>
  <c r="A29" i="13"/>
  <c r="B29" i="13" s="1"/>
  <c r="H24" i="10"/>
  <c r="H35" i="10" s="1"/>
  <c r="K13" i="10"/>
  <c r="J13" i="9"/>
  <c r="J11" i="9"/>
  <c r="J12" i="9"/>
  <c r="J15" i="9"/>
  <c r="J10" i="9"/>
  <c r="K10" i="9" s="1"/>
  <c r="G7" i="8"/>
  <c r="G21" i="8"/>
  <c r="K2" i="8"/>
  <c r="N17" i="8"/>
  <c r="G2" i="8"/>
  <c r="D7" i="8"/>
  <c r="W2" i="8"/>
  <c r="K49" i="8"/>
  <c r="D49" i="8"/>
  <c r="W54" i="8"/>
  <c r="G42" i="8"/>
  <c r="W45" i="8" s="1"/>
  <c r="F19" i="4"/>
  <c r="G49" i="8"/>
  <c r="W30" i="8"/>
  <c r="T54" i="8"/>
  <c r="K14" i="8"/>
  <c r="AA14" i="8" s="1"/>
  <c r="W17" i="8"/>
  <c r="K21" i="8"/>
  <c r="N26" i="8"/>
  <c r="T9" i="8"/>
  <c r="K9" i="8"/>
  <c r="G35" i="8"/>
  <c r="D35" i="8" s="1"/>
  <c r="N54" i="8"/>
  <c r="Q54" i="8" s="1"/>
  <c r="Q37" i="8"/>
  <c r="P15" i="3"/>
  <c r="F81" i="12" l="1"/>
  <c r="K42" i="8"/>
  <c r="Q45" i="8" s="1"/>
  <c r="Q56" i="8" s="1"/>
  <c r="K37" i="8"/>
  <c r="T37" i="8"/>
  <c r="W37" i="8"/>
  <c r="W56" i="8" s="1"/>
  <c r="I42" i="13"/>
  <c r="B39" i="13" s="1"/>
  <c r="H24" i="11"/>
  <c r="H35" i="11" s="1"/>
  <c r="N81" i="12"/>
  <c r="P81" i="12" s="1"/>
  <c r="I43" i="13"/>
  <c r="B40" i="13" s="1"/>
  <c r="A30" i="13"/>
  <c r="B30" i="13" s="1"/>
  <c r="C50" i="4"/>
  <c r="J3" i="11" s="1"/>
  <c r="C56" i="4"/>
  <c r="K14" i="11"/>
  <c r="H25" i="11"/>
  <c r="H36" i="11" s="1"/>
  <c r="H25" i="10"/>
  <c r="H36" i="10" s="1"/>
  <c r="K14" i="10"/>
  <c r="AA7" i="8"/>
  <c r="H22" i="9"/>
  <c r="H33" i="9" s="1"/>
  <c r="K11" i="9"/>
  <c r="O10" i="9"/>
  <c r="AA21" i="8"/>
  <c r="AC14" i="8"/>
  <c r="AE14" i="8"/>
  <c r="N56" i="8"/>
  <c r="G56" i="8"/>
  <c r="AA17" i="8"/>
  <c r="AA9" i="8"/>
  <c r="T45" i="8"/>
  <c r="D42" i="8"/>
  <c r="D56" i="8" s="1"/>
  <c r="T2" i="8"/>
  <c r="AA2" i="8" s="1"/>
  <c r="W26" i="8"/>
  <c r="AA26" i="8" s="1"/>
  <c r="K56" i="8" l="1"/>
  <c r="K60" i="8" s="1"/>
  <c r="T56" i="8"/>
  <c r="T58" i="8" s="1"/>
  <c r="J89" i="12"/>
  <c r="Q60" i="8"/>
  <c r="Q58" i="8"/>
  <c r="D89" i="12"/>
  <c r="D81" i="12"/>
  <c r="N89" i="12"/>
  <c r="J81" i="12"/>
  <c r="B89" i="12"/>
  <c r="H81" i="12"/>
  <c r="H89" i="12"/>
  <c r="O11" i="11"/>
  <c r="O12" i="11"/>
  <c r="AE21" i="8"/>
  <c r="B81" i="12"/>
  <c r="AE7" i="8"/>
  <c r="L81" i="12"/>
  <c r="A31" i="13"/>
  <c r="B31" i="13" s="1"/>
  <c r="I44" i="13"/>
  <c r="B41" i="13" s="1"/>
  <c r="K15" i="11"/>
  <c r="H26" i="11"/>
  <c r="H37" i="11" s="1"/>
  <c r="H26" i="10"/>
  <c r="H37" i="10" s="1"/>
  <c r="K15" i="10"/>
  <c r="AC7" i="8"/>
  <c r="P10" i="9"/>
  <c r="I22" i="9"/>
  <c r="I33" i="9" s="1"/>
  <c r="K12" i="9"/>
  <c r="H23" i="9"/>
  <c r="H34" i="9" s="1"/>
  <c r="O11" i="9"/>
  <c r="AC21" i="8"/>
  <c r="AA28" i="8"/>
  <c r="AC2" i="8"/>
  <c r="AE2" i="8"/>
  <c r="D60" i="8"/>
  <c r="D58" i="8"/>
  <c r="AC26" i="8"/>
  <c r="AE26" i="8"/>
  <c r="AC9" i="8"/>
  <c r="AE9" i="8"/>
  <c r="AC17" i="8"/>
  <c r="AE17" i="8"/>
  <c r="W60" i="8"/>
  <c r="W58" i="8"/>
  <c r="G60" i="8"/>
  <c r="G58" i="8"/>
  <c r="N60" i="8"/>
  <c r="N58" i="8"/>
  <c r="L7" i="4"/>
  <c r="K6" i="4"/>
  <c r="K5" i="4"/>
  <c r="J5" i="4"/>
  <c r="T60" i="8" l="1"/>
  <c r="Z56" i="8"/>
  <c r="F89" i="12"/>
  <c r="L89" i="12"/>
  <c r="K58" i="8"/>
  <c r="Z58" i="8" s="1"/>
  <c r="F73" i="12"/>
  <c r="G21" i="14" s="1"/>
  <c r="P12" i="11"/>
  <c r="I24" i="11"/>
  <c r="I35" i="11" s="1"/>
  <c r="F72" i="12"/>
  <c r="G20" i="14" s="1"/>
  <c r="P11" i="11"/>
  <c r="I23" i="11"/>
  <c r="I34" i="11" s="1"/>
  <c r="A32" i="13"/>
  <c r="B32" i="13" s="1"/>
  <c r="C32" i="13" s="1"/>
  <c r="E19" i="12" s="1"/>
  <c r="C50" i="12" s="1"/>
  <c r="I45" i="13"/>
  <c r="B42" i="13" s="1"/>
  <c r="C42" i="13" s="1"/>
  <c r="E29" i="12" s="1"/>
  <c r="F50" i="12" s="1"/>
  <c r="H27" i="11"/>
  <c r="H38" i="11" s="1"/>
  <c r="H27" i="10"/>
  <c r="H38" i="10" s="1"/>
  <c r="E23" i="4"/>
  <c r="B52" i="4" s="1"/>
  <c r="I5" i="10" s="1"/>
  <c r="O15" i="10" s="1"/>
  <c r="I23" i="9"/>
  <c r="I34" i="9" s="1"/>
  <c r="P11" i="9"/>
  <c r="K13" i="9"/>
  <c r="H24" i="9"/>
  <c r="H35" i="9" s="1"/>
  <c r="O12" i="9"/>
  <c r="Q11" i="9"/>
  <c r="Q10" i="9"/>
  <c r="J22" i="9"/>
  <c r="J33" i="9" s="1"/>
  <c r="Z60" i="8"/>
  <c r="AE28" i="8"/>
  <c r="AC28" i="8"/>
  <c r="AG3" i="8" s="1"/>
  <c r="G7" i="4"/>
  <c r="G6" i="4"/>
  <c r="F6" i="4"/>
  <c r="F5" i="4"/>
  <c r="E5" i="4"/>
  <c r="AB57" i="8" l="1"/>
  <c r="D57" i="4" s="1"/>
  <c r="D26" i="12"/>
  <c r="J24" i="11"/>
  <c r="I26" i="12"/>
  <c r="F56" i="12" s="1"/>
  <c r="G4" i="14" s="1"/>
  <c r="D25" i="12"/>
  <c r="I25" i="12"/>
  <c r="F55" i="12" s="1"/>
  <c r="G3" i="14" s="1"/>
  <c r="J23" i="11"/>
  <c r="Q12" i="11"/>
  <c r="E20" i="4"/>
  <c r="B57" i="4" s="1"/>
  <c r="C76" i="12"/>
  <c r="C24" i="14" s="1"/>
  <c r="P16" i="10"/>
  <c r="J28" i="10" s="1"/>
  <c r="C41" i="13"/>
  <c r="E28" i="12" s="1"/>
  <c r="F49" i="12" s="1"/>
  <c r="E42" i="13"/>
  <c r="C31" i="13"/>
  <c r="E18" i="12" s="1"/>
  <c r="C49" i="12" s="1"/>
  <c r="E32" i="13"/>
  <c r="I27" i="10"/>
  <c r="I38" i="10" s="1"/>
  <c r="P15" i="10"/>
  <c r="E21" i="4"/>
  <c r="B51" i="4" s="1"/>
  <c r="I4" i="10" s="1"/>
  <c r="R11" i="9"/>
  <c r="K22" i="9"/>
  <c r="K33" i="9" s="1"/>
  <c r="R10" i="9"/>
  <c r="K14" i="9"/>
  <c r="H25" i="9"/>
  <c r="H36" i="9" s="1"/>
  <c r="O13" i="9"/>
  <c r="K23" i="9"/>
  <c r="K34" i="9" s="1"/>
  <c r="J23" i="9"/>
  <c r="J34" i="9" s="1"/>
  <c r="I24" i="9"/>
  <c r="I35" i="9" s="1"/>
  <c r="P12" i="9"/>
  <c r="E56" i="4"/>
  <c r="E57" i="4"/>
  <c r="E19" i="4"/>
  <c r="T26" i="5"/>
  <c r="Q26" i="5" s="1"/>
  <c r="D14" i="5"/>
  <c r="K14" i="5" s="1"/>
  <c r="D21" i="5"/>
  <c r="W2" i="5" s="1"/>
  <c r="D56" i="4" l="1"/>
  <c r="K24" i="11"/>
  <c r="K35" i="11" s="1"/>
  <c r="H26" i="12"/>
  <c r="G65" i="12" s="1"/>
  <c r="I13" i="14" s="1"/>
  <c r="C26" i="12"/>
  <c r="J34" i="11"/>
  <c r="C58" i="11"/>
  <c r="C59" i="11"/>
  <c r="J35" i="11"/>
  <c r="O13" i="10"/>
  <c r="O14" i="10"/>
  <c r="J27" i="10"/>
  <c r="C62" i="10" s="1"/>
  <c r="N38" i="10"/>
  <c r="I19" i="12"/>
  <c r="C59" i="12" s="1"/>
  <c r="C7" i="14" s="1"/>
  <c r="D19" i="12"/>
  <c r="D20" i="12"/>
  <c r="N39" i="10"/>
  <c r="I20" i="12"/>
  <c r="C60" i="12" s="1"/>
  <c r="C8" i="14" s="1"/>
  <c r="C30" i="13"/>
  <c r="E17" i="12" s="1"/>
  <c r="C48" i="12" s="1"/>
  <c r="E31" i="13"/>
  <c r="C40" i="13"/>
  <c r="E27" i="12" s="1"/>
  <c r="F48" i="12" s="1"/>
  <c r="E41" i="13"/>
  <c r="C63" i="10"/>
  <c r="J39" i="10"/>
  <c r="J24" i="9"/>
  <c r="J35" i="9" s="1"/>
  <c r="K15" i="9"/>
  <c r="H26" i="9"/>
  <c r="H37" i="9" s="1"/>
  <c r="O14" i="9"/>
  <c r="Q12" i="9"/>
  <c r="I25" i="9"/>
  <c r="I36" i="9" s="1"/>
  <c r="P13" i="9"/>
  <c r="B50" i="4"/>
  <c r="I3" i="10" s="1"/>
  <c r="B56" i="4"/>
  <c r="W9" i="5"/>
  <c r="W17" i="5"/>
  <c r="G7" i="5"/>
  <c r="N17" i="5"/>
  <c r="G21" i="5"/>
  <c r="N26" i="5"/>
  <c r="G2" i="5"/>
  <c r="D7" i="5"/>
  <c r="K2" i="5"/>
  <c r="J38" i="10" l="1"/>
  <c r="N83" i="12"/>
  <c r="N82" i="12" s="1"/>
  <c r="P82" i="12" s="1"/>
  <c r="O11" i="10"/>
  <c r="O12" i="10"/>
  <c r="C75" i="12"/>
  <c r="C23" i="14" s="1"/>
  <c r="I26" i="10"/>
  <c r="I37" i="10" s="1"/>
  <c r="P14" i="10"/>
  <c r="C74" i="12"/>
  <c r="C22" i="14" s="1"/>
  <c r="I25" i="10"/>
  <c r="I36" i="10" s="1"/>
  <c r="P13" i="10"/>
  <c r="E40" i="13"/>
  <c r="C39" i="13"/>
  <c r="E26" i="12" s="1"/>
  <c r="F47" i="12" s="1"/>
  <c r="E30" i="13"/>
  <c r="C29" i="13"/>
  <c r="E16" i="12" s="1"/>
  <c r="C47" i="12" s="1"/>
  <c r="J25" i="9"/>
  <c r="J36" i="9" s="1"/>
  <c r="H27" i="9"/>
  <c r="H38" i="9" s="1"/>
  <c r="O15" i="9"/>
  <c r="Q13" i="9"/>
  <c r="R13" i="9" s="1"/>
  <c r="K24" i="9"/>
  <c r="K35" i="9" s="1"/>
  <c r="R12" i="9"/>
  <c r="I26" i="9"/>
  <c r="I37" i="9" s="1"/>
  <c r="P14" i="9"/>
  <c r="Q14" i="9" s="1"/>
  <c r="T2" i="5"/>
  <c r="W26" i="5"/>
  <c r="N84" i="12" l="1"/>
  <c r="P84" i="12" s="1"/>
  <c r="P83" i="12"/>
  <c r="D17" i="12"/>
  <c r="N36" i="10"/>
  <c r="J25" i="10"/>
  <c r="I17" i="12"/>
  <c r="C57" i="12" s="1"/>
  <c r="C5" i="14" s="1"/>
  <c r="Q14" i="10"/>
  <c r="C73" i="12"/>
  <c r="C21" i="14" s="1"/>
  <c r="I24" i="10"/>
  <c r="I35" i="10" s="1"/>
  <c r="P12" i="10"/>
  <c r="N37" i="10"/>
  <c r="J26" i="10"/>
  <c r="I18" i="12"/>
  <c r="C58" i="12" s="1"/>
  <c r="C6" i="14" s="1"/>
  <c r="D18" i="12"/>
  <c r="Q15" i="10"/>
  <c r="C72" i="12"/>
  <c r="C20" i="14" s="1"/>
  <c r="I23" i="10"/>
  <c r="I34" i="10" s="1"/>
  <c r="P11" i="10"/>
  <c r="E39" i="13"/>
  <c r="C38" i="13"/>
  <c r="E25" i="12" s="1"/>
  <c r="F46" i="12" s="1"/>
  <c r="E29" i="13"/>
  <c r="C28" i="13"/>
  <c r="E15" i="12" s="1"/>
  <c r="C46" i="12" s="1"/>
  <c r="K26" i="9"/>
  <c r="K37" i="9" s="1"/>
  <c r="I27" i="9"/>
  <c r="I38" i="9" s="1"/>
  <c r="P15" i="9"/>
  <c r="J27" i="9" s="1"/>
  <c r="J38" i="9" s="1"/>
  <c r="P16" i="9"/>
  <c r="J28" i="9" s="1"/>
  <c r="J39" i="9" s="1"/>
  <c r="J26" i="9"/>
  <c r="J37" i="9" s="1"/>
  <c r="K25" i="9"/>
  <c r="K36" i="9" s="1"/>
  <c r="R14" i="9"/>
  <c r="G13" i="4"/>
  <c r="F13" i="4"/>
  <c r="E13" i="4"/>
  <c r="F12" i="4"/>
  <c r="E12" i="4"/>
  <c r="F20" i="4" l="1"/>
  <c r="C57" i="4" s="1"/>
  <c r="N34" i="10"/>
  <c r="J23" i="10"/>
  <c r="D15" i="12"/>
  <c r="I15" i="12"/>
  <c r="C55" i="12" s="1"/>
  <c r="C3" i="14" s="1"/>
  <c r="Q12" i="10"/>
  <c r="D16" i="12"/>
  <c r="N35" i="10"/>
  <c r="I16" i="12"/>
  <c r="C56" i="12" s="1"/>
  <c r="C4" i="14" s="1"/>
  <c r="J24" i="10"/>
  <c r="Q13" i="10"/>
  <c r="J36" i="10"/>
  <c r="C60" i="10"/>
  <c r="J37" i="10"/>
  <c r="C61" i="10"/>
  <c r="C19" i="12"/>
  <c r="K27" i="10"/>
  <c r="K38" i="10" s="1"/>
  <c r="B45" i="10" s="1"/>
  <c r="H19" i="12"/>
  <c r="C68" i="12" s="1"/>
  <c r="C16" i="14" s="1"/>
  <c r="R14" i="10"/>
  <c r="D61" i="10" s="1"/>
  <c r="K26" i="10"/>
  <c r="K37" i="10" s="1"/>
  <c r="C18" i="12"/>
  <c r="H18" i="12"/>
  <c r="C67" i="12" s="1"/>
  <c r="C15" i="14" s="1"/>
  <c r="R15" i="10"/>
  <c r="D62" i="10" s="1"/>
  <c r="E38" i="13"/>
  <c r="C37" i="13"/>
  <c r="C27" i="13"/>
  <c r="E28" i="13"/>
  <c r="Q15" i="9"/>
  <c r="E37" i="13" l="1"/>
  <c r="E43" i="13" s="1"/>
  <c r="E24" i="12"/>
  <c r="F45" i="12" s="1"/>
  <c r="K25" i="10"/>
  <c r="K36" i="10" s="1"/>
  <c r="H17" i="12"/>
  <c r="C66" i="12" s="1"/>
  <c r="C14" i="14" s="1"/>
  <c r="C17" i="12"/>
  <c r="C58" i="10"/>
  <c r="J34" i="10"/>
  <c r="E27" i="13"/>
  <c r="E14" i="12"/>
  <c r="C45" i="12" s="1"/>
  <c r="C59" i="10"/>
  <c r="J35" i="10"/>
  <c r="K24" i="10"/>
  <c r="K35" i="10" s="1"/>
  <c r="R13" i="10"/>
  <c r="D60" i="10" s="1"/>
  <c r="H16" i="12"/>
  <c r="C65" i="12" s="1"/>
  <c r="C13" i="14" s="1"/>
  <c r="C16" i="12"/>
  <c r="E33" i="13"/>
  <c r="K27" i="9"/>
  <c r="K38" i="9" s="1"/>
  <c r="B45" i="9" s="1"/>
  <c r="R15" i="9"/>
  <c r="N9" i="6"/>
  <c r="D14" i="6"/>
  <c r="T17" i="6"/>
  <c r="K9" i="6" s="1"/>
  <c r="D21" i="6"/>
  <c r="T26" i="6"/>
  <c r="Q26" i="6" s="1"/>
  <c r="G30" i="6"/>
  <c r="K30" i="6"/>
  <c r="N37" i="6"/>
  <c r="G42" i="6"/>
  <c r="N45" i="6"/>
  <c r="K49" i="6" l="1"/>
  <c r="Q37" i="6"/>
  <c r="Q54" i="6"/>
  <c r="D35" i="6"/>
  <c r="N54" i="6"/>
  <c r="N56" i="6" s="1"/>
  <c r="D49" i="6"/>
  <c r="W54" i="6"/>
  <c r="G49" i="6"/>
  <c r="W30" i="6"/>
  <c r="T54" i="6"/>
  <c r="G35" i="6"/>
  <c r="T30" i="6"/>
  <c r="G14" i="6"/>
  <c r="T9" i="6"/>
  <c r="K21" i="6"/>
  <c r="T45" i="6"/>
  <c r="K37" i="6"/>
  <c r="T37" i="6"/>
  <c r="D42" i="6"/>
  <c r="K42" i="6" s="1"/>
  <c r="W45" i="6"/>
  <c r="Q45" i="6"/>
  <c r="W37" i="6"/>
  <c r="W2" i="6"/>
  <c r="D7" i="6"/>
  <c r="G21" i="6"/>
  <c r="T2" i="6"/>
  <c r="G7" i="6"/>
  <c r="K2" i="6"/>
  <c r="N17" i="6"/>
  <c r="W26" i="6"/>
  <c r="G2" i="6"/>
  <c r="N26" i="6"/>
  <c r="K14" i="6"/>
  <c r="AA14" i="6" s="1"/>
  <c r="W17" i="6"/>
  <c r="W9" i="6"/>
  <c r="Q17" i="6"/>
  <c r="Q9" i="6"/>
  <c r="AA7" i="5"/>
  <c r="AA2" i="5"/>
  <c r="AC2" i="5" l="1"/>
  <c r="F85" i="12"/>
  <c r="H93" i="12"/>
  <c r="G56" i="6"/>
  <c r="N85" i="12"/>
  <c r="P85" i="12" s="1"/>
  <c r="AC7" i="5"/>
  <c r="L83" i="12"/>
  <c r="K56" i="6"/>
  <c r="AA21" i="6"/>
  <c r="AA9" i="6"/>
  <c r="AA26" i="6"/>
  <c r="N60" i="6"/>
  <c r="N58" i="6"/>
  <c r="T56" i="6"/>
  <c r="W56" i="6"/>
  <c r="Q56" i="6"/>
  <c r="D56" i="6"/>
  <c r="AA2" i="6"/>
  <c r="AE14" i="6"/>
  <c r="AC14" i="6"/>
  <c r="AA17" i="6"/>
  <c r="AA7" i="6"/>
  <c r="AE2" i="5"/>
  <c r="AE7" i="5"/>
  <c r="F93" i="12" l="1"/>
  <c r="D93" i="12"/>
  <c r="N93" i="12"/>
  <c r="L85" i="12"/>
  <c r="AE2" i="6"/>
  <c r="L93" i="12"/>
  <c r="J85" i="12"/>
  <c r="J93" i="12"/>
  <c r="H85" i="12"/>
  <c r="B93" i="12"/>
  <c r="AE9" i="6"/>
  <c r="G58" i="6"/>
  <c r="G60" i="6"/>
  <c r="K60" i="6"/>
  <c r="K58" i="6"/>
  <c r="AC9" i="6"/>
  <c r="L84" i="12"/>
  <c r="L82" i="12"/>
  <c r="AE21" i="6"/>
  <c r="B85" i="12"/>
  <c r="AC26" i="6"/>
  <c r="D85" i="12"/>
  <c r="AC21" i="6"/>
  <c r="AA28" i="6"/>
  <c r="AC2" i="6"/>
  <c r="AE26" i="6"/>
  <c r="W60" i="6"/>
  <c r="W58" i="6"/>
  <c r="T60" i="6"/>
  <c r="T58" i="6"/>
  <c r="Z56" i="6"/>
  <c r="D60" i="6"/>
  <c r="D58" i="6"/>
  <c r="Q60" i="6"/>
  <c r="Q58" i="6"/>
  <c r="AE7" i="6"/>
  <c r="AC7" i="6"/>
  <c r="AC17" i="6"/>
  <c r="AE17" i="6"/>
  <c r="G30" i="7"/>
  <c r="K30" i="7"/>
  <c r="N45" i="7"/>
  <c r="N37" i="7"/>
  <c r="G42" i="7"/>
  <c r="D14" i="7"/>
  <c r="T17" i="7"/>
  <c r="N9" i="7"/>
  <c r="D21" i="7"/>
  <c r="T26" i="7"/>
  <c r="Q26" i="7" s="1"/>
  <c r="G30" i="5"/>
  <c r="K30" i="5"/>
  <c r="N45" i="5"/>
  <c r="N37" i="5"/>
  <c r="G42" i="5"/>
  <c r="T17" i="5"/>
  <c r="N9" i="5"/>
  <c r="AA26" i="5"/>
  <c r="AC26" i="5" l="1"/>
  <c r="D83" i="12"/>
  <c r="Z58" i="6"/>
  <c r="AB57" i="6" s="1"/>
  <c r="D60" i="4" s="1"/>
  <c r="AE28" i="6"/>
  <c r="K49" i="5"/>
  <c r="Q37" i="5"/>
  <c r="N54" i="7"/>
  <c r="N56" i="7" s="1"/>
  <c r="D35" i="7"/>
  <c r="W54" i="7"/>
  <c r="G49" i="7"/>
  <c r="W30" i="7"/>
  <c r="T54" i="7"/>
  <c r="D49" i="7"/>
  <c r="T30" i="7"/>
  <c r="Q54" i="7"/>
  <c r="G35" i="7"/>
  <c r="AC28" i="6"/>
  <c r="AG3" i="6" s="1"/>
  <c r="E60" i="4" s="1"/>
  <c r="T30" i="5"/>
  <c r="W30" i="5"/>
  <c r="N54" i="5"/>
  <c r="Q54" i="5" s="1"/>
  <c r="G35" i="5"/>
  <c r="D35" i="5" s="1"/>
  <c r="W54" i="5"/>
  <c r="G49" i="5"/>
  <c r="T54" i="5"/>
  <c r="D49" i="5"/>
  <c r="Q37" i="7"/>
  <c r="K49" i="7"/>
  <c r="Z60" i="6"/>
  <c r="T45" i="7"/>
  <c r="D42" i="7"/>
  <c r="W37" i="7"/>
  <c r="Q45" i="7"/>
  <c r="T37" i="7"/>
  <c r="K37" i="7"/>
  <c r="W45" i="7"/>
  <c r="K42" i="7"/>
  <c r="T45" i="5"/>
  <c r="K37" i="5"/>
  <c r="T37" i="5"/>
  <c r="D42" i="5"/>
  <c r="W45" i="5"/>
  <c r="W37" i="5"/>
  <c r="K42" i="5"/>
  <c r="Q45" i="5" s="1"/>
  <c r="W17" i="7"/>
  <c r="K14" i="7"/>
  <c r="W9" i="7" s="1"/>
  <c r="D7" i="7"/>
  <c r="T2" i="7"/>
  <c r="N26" i="7"/>
  <c r="G7" i="7"/>
  <c r="W2" i="7"/>
  <c r="G21" i="7"/>
  <c r="G2" i="7"/>
  <c r="N17" i="7"/>
  <c r="K2" i="7"/>
  <c r="W26" i="7"/>
  <c r="Q9" i="7"/>
  <c r="Q17" i="7"/>
  <c r="T9" i="7"/>
  <c r="G14" i="7"/>
  <c r="K21" i="7"/>
  <c r="K9" i="7"/>
  <c r="T9" i="5"/>
  <c r="K9" i="5"/>
  <c r="K21" i="5"/>
  <c r="AA21" i="5" s="1"/>
  <c r="G14" i="5"/>
  <c r="AA14" i="5" s="1"/>
  <c r="Q9" i="5"/>
  <c r="Q17" i="5" s="1"/>
  <c r="AA17" i="5" s="1"/>
  <c r="AE26" i="5"/>
  <c r="G56" i="5" l="1"/>
  <c r="D91" i="12" s="1"/>
  <c r="B83" i="12"/>
  <c r="B84" i="12" s="1"/>
  <c r="H88" i="12"/>
  <c r="H83" i="12"/>
  <c r="H82" i="12" s="1"/>
  <c r="N80" i="12"/>
  <c r="P80" i="12" s="1"/>
  <c r="G56" i="7"/>
  <c r="D84" i="12"/>
  <c r="D82" i="12"/>
  <c r="AA14" i="7"/>
  <c r="AC14" i="5"/>
  <c r="F83" i="12"/>
  <c r="N56" i="5"/>
  <c r="N58" i="5" s="1"/>
  <c r="K56" i="5"/>
  <c r="K56" i="7"/>
  <c r="D56" i="5"/>
  <c r="D56" i="7"/>
  <c r="T56" i="7"/>
  <c r="W56" i="7"/>
  <c r="N60" i="7"/>
  <c r="N58" i="7"/>
  <c r="W56" i="5"/>
  <c r="Q56" i="5"/>
  <c r="Q56" i="7"/>
  <c r="T56" i="5"/>
  <c r="AA21" i="7"/>
  <c r="AA2" i="7"/>
  <c r="AA9" i="7"/>
  <c r="AA26" i="7"/>
  <c r="AA17" i="7"/>
  <c r="AA7" i="7"/>
  <c r="AE14" i="5"/>
  <c r="AC21" i="5"/>
  <c r="AE21" i="5"/>
  <c r="AC17" i="5"/>
  <c r="AE17" i="5"/>
  <c r="AA9" i="5"/>
  <c r="G58" i="5"/>
  <c r="C26" i="4"/>
  <c r="C36" i="4" s="1"/>
  <c r="G60" i="7" l="1"/>
  <c r="G60" i="5"/>
  <c r="G58" i="7"/>
  <c r="N60" i="5"/>
  <c r="H84" i="12"/>
  <c r="Z56" i="5"/>
  <c r="B82" i="12"/>
  <c r="L80" i="12"/>
  <c r="AE2" i="7"/>
  <c r="J91" i="12"/>
  <c r="J92" i="12" s="1"/>
  <c r="N88" i="12"/>
  <c r="B88" i="12"/>
  <c r="H80" i="12"/>
  <c r="N91" i="12"/>
  <c r="N92" i="12" s="1"/>
  <c r="L88" i="12"/>
  <c r="B91" i="12"/>
  <c r="B92" i="12" s="1"/>
  <c r="F91" i="12"/>
  <c r="F90" i="12" s="1"/>
  <c r="J83" i="12"/>
  <c r="J84" i="12" s="1"/>
  <c r="L91" i="12"/>
  <c r="L90" i="12" s="1"/>
  <c r="K58" i="5"/>
  <c r="H91" i="12"/>
  <c r="H90" i="12" s="1"/>
  <c r="D88" i="12"/>
  <c r="J88" i="12"/>
  <c r="K60" i="5"/>
  <c r="F80" i="12"/>
  <c r="J90" i="12"/>
  <c r="D90" i="12"/>
  <c r="D92" i="12"/>
  <c r="K58" i="7"/>
  <c r="F88" i="12"/>
  <c r="AE14" i="7"/>
  <c r="AC14" i="7"/>
  <c r="F84" i="12"/>
  <c r="F82" i="12"/>
  <c r="AC21" i="7"/>
  <c r="B80" i="12"/>
  <c r="AC26" i="7"/>
  <c r="D80" i="12"/>
  <c r="AE9" i="7"/>
  <c r="J80" i="12"/>
  <c r="AC2" i="7"/>
  <c r="K60" i="7"/>
  <c r="AE21" i="7"/>
  <c r="T60" i="5"/>
  <c r="T58" i="5"/>
  <c r="Q60" i="7"/>
  <c r="Q58" i="7"/>
  <c r="Q58" i="5"/>
  <c r="Q60" i="5"/>
  <c r="W60" i="7"/>
  <c r="W58" i="7"/>
  <c r="Z56" i="7"/>
  <c r="D60" i="7"/>
  <c r="D58" i="7"/>
  <c r="W58" i="5"/>
  <c r="W60" i="5"/>
  <c r="T60" i="7"/>
  <c r="T58" i="7"/>
  <c r="D58" i="5"/>
  <c r="D60" i="5"/>
  <c r="AA28" i="7"/>
  <c r="AC9" i="7"/>
  <c r="AE26" i="7"/>
  <c r="AE17" i="7"/>
  <c r="AC17" i="7"/>
  <c r="AE7" i="7"/>
  <c r="AC7" i="7"/>
  <c r="AC9" i="5"/>
  <c r="AC28" i="5" s="1"/>
  <c r="AA28" i="5"/>
  <c r="AE9" i="5"/>
  <c r="AE28" i="5" s="1"/>
  <c r="F18" i="4"/>
  <c r="C55" i="4" s="1"/>
  <c r="N90" i="12" l="1"/>
  <c r="F92" i="12"/>
  <c r="H92" i="12"/>
  <c r="B90" i="12"/>
  <c r="J82" i="12"/>
  <c r="L92" i="12"/>
  <c r="Z60" i="5"/>
  <c r="Z58" i="5"/>
  <c r="AB57" i="5" s="1"/>
  <c r="D58" i="4" s="1"/>
  <c r="D59" i="4" s="1"/>
  <c r="AG3" i="5"/>
  <c r="E58" i="4" s="1"/>
  <c r="E59" i="4" s="1"/>
  <c r="Z60" i="7"/>
  <c r="Z58" i="7"/>
  <c r="AB57" i="7" s="1"/>
  <c r="D55" i="4" s="1"/>
  <c r="AE28" i="7"/>
  <c r="AC28" i="7"/>
  <c r="AG3" i="7" s="1"/>
  <c r="E55" i="4" s="1"/>
  <c r="C49" i="4"/>
  <c r="J2" i="11" s="1"/>
  <c r="O10" i="11" s="1"/>
  <c r="E18" i="4"/>
  <c r="B55" i="4" s="1"/>
  <c r="F71" i="12" l="1"/>
  <c r="G19" i="14" s="1"/>
  <c r="I22" i="11"/>
  <c r="I33" i="11" s="1"/>
  <c r="P10" i="11"/>
  <c r="B49" i="4"/>
  <c r="I2" i="10" s="1"/>
  <c r="O10" i="10" s="1"/>
  <c r="F23" i="4"/>
  <c r="C60" i="4" s="1"/>
  <c r="Q10" i="11" l="1"/>
  <c r="J22" i="11"/>
  <c r="I24" i="12"/>
  <c r="F54" i="12" s="1"/>
  <c r="G2" i="14" s="1"/>
  <c r="Q11" i="11"/>
  <c r="D24" i="12"/>
  <c r="C71" i="12"/>
  <c r="C19" i="14" s="1"/>
  <c r="P10" i="10"/>
  <c r="I22" i="10"/>
  <c r="I33" i="10" s="1"/>
  <c r="C52" i="4"/>
  <c r="J5" i="11" s="1"/>
  <c r="O15" i="11" s="1"/>
  <c r="B60" i="4"/>
  <c r="J33" i="11" l="1"/>
  <c r="C57" i="11"/>
  <c r="R11" i="11"/>
  <c r="D58" i="11" s="1"/>
  <c r="C25" i="12"/>
  <c r="K23" i="11"/>
  <c r="K34" i="11" s="1"/>
  <c r="H25" i="12"/>
  <c r="G64" i="12" s="1"/>
  <c r="I12" i="14" s="1"/>
  <c r="R12" i="11"/>
  <c r="D59" i="11" s="1"/>
  <c r="R10" i="11"/>
  <c r="D57" i="11" s="1"/>
  <c r="H24" i="12"/>
  <c r="G63" i="12" s="1"/>
  <c r="I11" i="14" s="1"/>
  <c r="K22" i="11"/>
  <c r="K33" i="11" s="1"/>
  <c r="C24" i="12"/>
  <c r="F76" i="12"/>
  <c r="G24" i="14" s="1"/>
  <c r="I27" i="11"/>
  <c r="I38" i="11" s="1"/>
  <c r="P15" i="11"/>
  <c r="P16" i="11"/>
  <c r="I14" i="12"/>
  <c r="C54" i="12" s="1"/>
  <c r="C2" i="14" s="1"/>
  <c r="Q10" i="10"/>
  <c r="D14" i="12"/>
  <c r="J22" i="10"/>
  <c r="N33" i="10"/>
  <c r="Q11" i="10"/>
  <c r="F22" i="4"/>
  <c r="C59" i="4" s="1"/>
  <c r="C57" i="10" l="1"/>
  <c r="J33" i="10"/>
  <c r="I30" i="12"/>
  <c r="F60" i="12" s="1"/>
  <c r="G8" i="14" s="1"/>
  <c r="D30" i="12"/>
  <c r="J28" i="11"/>
  <c r="D29" i="12"/>
  <c r="J27" i="11"/>
  <c r="I29" i="12"/>
  <c r="F59" i="12" s="1"/>
  <c r="G7" i="14" s="1"/>
  <c r="K23" i="10"/>
  <c r="K34" i="10" s="1"/>
  <c r="R12" i="10"/>
  <c r="D59" i="10" s="1"/>
  <c r="H15" i="12"/>
  <c r="C64" i="12" s="1"/>
  <c r="C12" i="14" s="1"/>
  <c r="C15" i="12"/>
  <c r="R10" i="10"/>
  <c r="D57" i="10" s="1"/>
  <c r="C14" i="12"/>
  <c r="H14" i="12"/>
  <c r="C63" i="12" s="1"/>
  <c r="C11" i="14" s="1"/>
  <c r="K22" i="10"/>
  <c r="K33" i="10" s="1"/>
  <c r="R11" i="10"/>
  <c r="D58" i="10" s="1"/>
  <c r="F21" i="4"/>
  <c r="J38" i="11" l="1"/>
  <c r="C62" i="11"/>
  <c r="J39" i="11"/>
  <c r="C63" i="11"/>
  <c r="C51" i="4"/>
  <c r="J4" i="11" s="1"/>
  <c r="C58" i="4"/>
  <c r="E22" i="4"/>
  <c r="B59" i="4" s="1"/>
  <c r="B58" i="4"/>
  <c r="A20" i="4"/>
  <c r="B20" i="4"/>
  <c r="A21" i="4"/>
  <c r="B21" i="4"/>
  <c r="A22" i="4"/>
  <c r="B22" i="4"/>
  <c r="O13" i="11" l="1"/>
  <c r="O14" i="11"/>
  <c r="E56" i="3"/>
  <c r="F56" i="3"/>
  <c r="B49" i="3"/>
  <c r="P11" i="3"/>
  <c r="P12" i="3"/>
  <c r="P13" i="3"/>
  <c r="P14" i="3"/>
  <c r="P10" i="3"/>
  <c r="B21" i="3"/>
  <c r="B15" i="3"/>
  <c r="D15" i="3" s="1"/>
  <c r="I15" i="3" s="1"/>
  <c r="B12" i="3"/>
  <c r="D12" i="3" s="1"/>
  <c r="B13" i="3"/>
  <c r="D13" i="3" s="1"/>
  <c r="B14" i="3"/>
  <c r="D14" i="3" s="1"/>
  <c r="E14" i="3" s="1"/>
  <c r="B11" i="3"/>
  <c r="D11" i="3" s="1"/>
  <c r="I11" i="3" s="1"/>
  <c r="F7" i="3"/>
  <c r="B10" i="3" s="1"/>
  <c r="D10" i="3" s="1"/>
  <c r="F83" i="1"/>
  <c r="F82" i="1"/>
  <c r="F81" i="1"/>
  <c r="C19" i="1"/>
  <c r="C16" i="1"/>
  <c r="G37" i="1"/>
  <c r="M37" i="1" s="1"/>
  <c r="L36" i="1"/>
  <c r="G36" i="1"/>
  <c r="J36" i="1" s="1"/>
  <c r="C69" i="1"/>
  <c r="C70" i="1"/>
  <c r="H72" i="1"/>
  <c r="H71" i="1"/>
  <c r="H70" i="1"/>
  <c r="H69" i="1"/>
  <c r="C71" i="1"/>
  <c r="C72" i="1"/>
  <c r="Y64" i="1"/>
  <c r="L35" i="4" l="1"/>
  <c r="B52" i="12"/>
  <c r="F75" i="12"/>
  <c r="G23" i="14" s="1"/>
  <c r="I26" i="11"/>
  <c r="I37" i="11" s="1"/>
  <c r="P14" i="11"/>
  <c r="F74" i="12"/>
  <c r="G22" i="14" s="1"/>
  <c r="I25" i="11"/>
  <c r="I36" i="11" s="1"/>
  <c r="P13" i="11"/>
  <c r="C20" i="1"/>
  <c r="J37" i="1"/>
  <c r="D31" i="13"/>
  <c r="F31" i="4"/>
  <c r="F41" i="4" s="1"/>
  <c r="M36" i="1"/>
  <c r="I10" i="3"/>
  <c r="E10" i="3"/>
  <c r="D16" i="3"/>
  <c r="B23" i="3" s="1"/>
  <c r="I12" i="3"/>
  <c r="E12" i="3"/>
  <c r="E13" i="3"/>
  <c r="I13" i="3"/>
  <c r="I14" i="3"/>
  <c r="E15" i="3"/>
  <c r="E11" i="3"/>
  <c r="U25" i="1"/>
  <c r="E35" i="1" s="1"/>
  <c r="B81" i="1"/>
  <c r="B83" i="1"/>
  <c r="B82" i="1"/>
  <c r="AC48" i="1"/>
  <c r="I28" i="12" l="1"/>
  <c r="F58" i="12" s="1"/>
  <c r="G6" i="14" s="1"/>
  <c r="D28" i="12"/>
  <c r="J26" i="11"/>
  <c r="Q15" i="11"/>
  <c r="D27" i="12"/>
  <c r="J25" i="11"/>
  <c r="Q13" i="11"/>
  <c r="I27" i="12"/>
  <c r="F57" i="12" s="1"/>
  <c r="G5" i="14" s="1"/>
  <c r="Q14" i="11"/>
  <c r="D30" i="13"/>
  <c r="F30" i="4"/>
  <c r="F40" i="4" s="1"/>
  <c r="F27" i="4"/>
  <c r="F37" i="4" s="1"/>
  <c r="D27" i="13"/>
  <c r="D41" i="13"/>
  <c r="F41" i="13" s="1"/>
  <c r="F31" i="13"/>
  <c r="D28" i="13"/>
  <c r="F28" i="4"/>
  <c r="F38" i="4" s="1"/>
  <c r="D32" i="13"/>
  <c r="F32" i="4"/>
  <c r="F42" i="4" s="1"/>
  <c r="D29" i="13"/>
  <c r="F29" i="4"/>
  <c r="F39" i="4" s="1"/>
  <c r="E16" i="3"/>
  <c r="I16" i="3"/>
  <c r="J14" i="3" s="1"/>
  <c r="H35" i="1"/>
  <c r="K35" i="1" s="1"/>
  <c r="N35" i="1"/>
  <c r="B31" i="4" l="1"/>
  <c r="B41" i="4" s="1"/>
  <c r="N14" i="3"/>
  <c r="K25" i="11"/>
  <c r="K36" i="11" s="1"/>
  <c r="R13" i="11"/>
  <c r="D60" i="11" s="1"/>
  <c r="C27" i="12"/>
  <c r="H27" i="12"/>
  <c r="G66" i="12" s="1"/>
  <c r="I14" i="14" s="1"/>
  <c r="R14" i="11"/>
  <c r="D61" i="11" s="1"/>
  <c r="J37" i="11"/>
  <c r="C61" i="11"/>
  <c r="K27" i="11"/>
  <c r="K38" i="11" s="1"/>
  <c r="B45" i="11" s="1"/>
  <c r="H29" i="12"/>
  <c r="G68" i="12" s="1"/>
  <c r="I16" i="14" s="1"/>
  <c r="C29" i="12"/>
  <c r="J36" i="11"/>
  <c r="C60" i="11"/>
  <c r="C28" i="12"/>
  <c r="H28" i="12"/>
  <c r="G67" i="12" s="1"/>
  <c r="I15" i="14" s="1"/>
  <c r="K26" i="11"/>
  <c r="K37" i="11" s="1"/>
  <c r="R15" i="11"/>
  <c r="D62" i="11" s="1"/>
  <c r="D37" i="13"/>
  <c r="F37" i="13" s="1"/>
  <c r="F27" i="13"/>
  <c r="D39" i="13"/>
  <c r="F39" i="13" s="1"/>
  <c r="F29" i="13"/>
  <c r="D38" i="13"/>
  <c r="F38" i="13" s="1"/>
  <c r="F28" i="13"/>
  <c r="D42" i="13"/>
  <c r="F42" i="13" s="1"/>
  <c r="F32" i="13"/>
  <c r="D40" i="13"/>
  <c r="F40" i="13" s="1"/>
  <c r="F30" i="13"/>
  <c r="J13" i="3"/>
  <c r="J12" i="3"/>
  <c r="J10" i="3"/>
  <c r="N10" i="3" s="1"/>
  <c r="J11" i="3"/>
  <c r="J15" i="3"/>
  <c r="U21" i="1"/>
  <c r="B32" i="4" l="1"/>
  <c r="B42" i="4" s="1"/>
  <c r="N15" i="3"/>
  <c r="B30" i="4"/>
  <c r="B40" i="4" s="1"/>
  <c r="N13" i="3"/>
  <c r="B28" i="4"/>
  <c r="B38" i="4" s="1"/>
  <c r="N11" i="3"/>
  <c r="B29" i="4"/>
  <c r="B39" i="4" s="1"/>
  <c r="N12" i="3"/>
  <c r="F33" i="13"/>
  <c r="G34" i="13" s="1"/>
  <c r="F43" i="13"/>
  <c r="G44" i="13" s="1"/>
  <c r="K10" i="3"/>
  <c r="B27" i="4"/>
  <c r="B37" i="4" s="1"/>
  <c r="F69" i="1"/>
  <c r="F70" i="1"/>
  <c r="F72" i="1"/>
  <c r="F71" i="1"/>
  <c r="C24" i="1"/>
  <c r="Q4" i="1" s="1"/>
  <c r="O7" i="1" s="1"/>
  <c r="C27" i="4" l="1"/>
  <c r="C37" i="4" s="1"/>
  <c r="O10" i="3"/>
  <c r="F73" i="1"/>
  <c r="H22" i="3"/>
  <c r="H33" i="3" s="1"/>
  <c r="K11" i="3"/>
  <c r="Q10" i="3"/>
  <c r="R10" i="3" s="1"/>
  <c r="H68" i="1"/>
  <c r="C28" i="4" l="1"/>
  <c r="C38" i="4" s="1"/>
  <c r="O11" i="3"/>
  <c r="D27" i="4"/>
  <c r="D37" i="4"/>
  <c r="D38" i="4"/>
  <c r="I4" i="12"/>
  <c r="B54" i="12" s="1"/>
  <c r="B2" i="14" s="1"/>
  <c r="E71" i="12"/>
  <c r="F19" i="14" s="1"/>
  <c r="B71" i="12"/>
  <c r="B19" i="14" s="1"/>
  <c r="Q11" i="3"/>
  <c r="R11" i="3" s="1"/>
  <c r="K12" i="3"/>
  <c r="H23" i="3"/>
  <c r="H34" i="3" s="1"/>
  <c r="I22" i="3"/>
  <c r="I33" i="3" s="1"/>
  <c r="S10" i="3"/>
  <c r="H4" i="12" s="1"/>
  <c r="J22" i="3"/>
  <c r="L60" i="1"/>
  <c r="D28" i="4" l="1"/>
  <c r="C29" i="4"/>
  <c r="C39" i="4" s="1"/>
  <c r="O12" i="3"/>
  <c r="E54" i="12"/>
  <c r="F2" i="14" s="1"/>
  <c r="I23" i="3"/>
  <c r="I34" i="3" s="1"/>
  <c r="E72" i="12"/>
  <c r="F20" i="14" s="1"/>
  <c r="B72" i="12"/>
  <c r="B20" i="14" s="1"/>
  <c r="F63" i="12"/>
  <c r="H11" i="14" s="1"/>
  <c r="B63" i="12"/>
  <c r="B11" i="14" s="1"/>
  <c r="J23" i="3"/>
  <c r="J34" i="3" s="1"/>
  <c r="D5" i="12" s="1"/>
  <c r="I5" i="12"/>
  <c r="D39" i="4"/>
  <c r="Q12" i="3"/>
  <c r="H24" i="3"/>
  <c r="H35" i="3" s="1"/>
  <c r="K13" i="3"/>
  <c r="S11" i="3"/>
  <c r="R12" i="3"/>
  <c r="C58" i="3"/>
  <c r="J33" i="3"/>
  <c r="D4" i="12" s="1"/>
  <c r="C57" i="3"/>
  <c r="K22" i="3"/>
  <c r="T10" i="3"/>
  <c r="D57" i="3" s="1"/>
  <c r="C30" i="4" l="1"/>
  <c r="C40" i="4" s="1"/>
  <c r="O13" i="3"/>
  <c r="D29" i="4"/>
  <c r="K33" i="3"/>
  <c r="C4" i="12"/>
  <c r="I24" i="3"/>
  <c r="I35" i="3" s="1"/>
  <c r="E73" i="12"/>
  <c r="F21" i="14" s="1"/>
  <c r="B73" i="12"/>
  <c r="B21" i="14" s="1"/>
  <c r="K23" i="3"/>
  <c r="H5" i="12"/>
  <c r="S12" i="3"/>
  <c r="H6" i="12" s="1"/>
  <c r="I6" i="12"/>
  <c r="B55" i="12"/>
  <c r="B3" i="14" s="1"/>
  <c r="E55" i="12"/>
  <c r="F3" i="14" s="1"/>
  <c r="J24" i="3"/>
  <c r="J35" i="3" s="1"/>
  <c r="D6" i="12" s="1"/>
  <c r="Q13" i="3"/>
  <c r="T11" i="3"/>
  <c r="D58" i="3" s="1"/>
  <c r="H25" i="3"/>
  <c r="H36" i="3" s="1"/>
  <c r="K14" i="3"/>
  <c r="I44" i="1"/>
  <c r="C31" i="4" l="1"/>
  <c r="C41" i="4" s="1"/>
  <c r="O14" i="3"/>
  <c r="D30" i="4"/>
  <c r="D40" i="4"/>
  <c r="D31" i="4"/>
  <c r="C59" i="3"/>
  <c r="K24" i="3"/>
  <c r="K35" i="3" s="1"/>
  <c r="T12" i="3"/>
  <c r="D59" i="3" s="1"/>
  <c r="K34" i="3"/>
  <c r="C5" i="12"/>
  <c r="I25" i="3"/>
  <c r="I36" i="3" s="1"/>
  <c r="E74" i="12"/>
  <c r="F22" i="14" s="1"/>
  <c r="B74" i="12"/>
  <c r="B22" i="14" s="1"/>
  <c r="F65" i="12"/>
  <c r="H13" i="14" s="1"/>
  <c r="B65" i="12"/>
  <c r="B13" i="14" s="1"/>
  <c r="F64" i="12"/>
  <c r="H12" i="14" s="1"/>
  <c r="B64" i="12"/>
  <c r="B12" i="14" s="1"/>
  <c r="B56" i="12"/>
  <c r="B4" i="14" s="1"/>
  <c r="E56" i="12"/>
  <c r="F4" i="14" s="1"/>
  <c r="Q14" i="3"/>
  <c r="I26" i="3" s="1"/>
  <c r="I37" i="3" s="1"/>
  <c r="D41" i="4"/>
  <c r="R13" i="3"/>
  <c r="K15" i="3"/>
  <c r="H26" i="3"/>
  <c r="H37" i="3" s="1"/>
  <c r="E60" i="1"/>
  <c r="M33" i="1"/>
  <c r="N33" i="1" s="1"/>
  <c r="J33" i="1"/>
  <c r="H33" i="1"/>
  <c r="M32" i="1"/>
  <c r="J32" i="1"/>
  <c r="M28" i="1"/>
  <c r="K41" i="1" s="1"/>
  <c r="J28" i="1"/>
  <c r="H41" i="1" s="1"/>
  <c r="I28" i="1"/>
  <c r="E34" i="1"/>
  <c r="H34" i="1" s="1"/>
  <c r="R12" i="1"/>
  <c r="AD19" i="1"/>
  <c r="AD16" i="1"/>
  <c r="AD22" i="1"/>
  <c r="AE11" i="1"/>
  <c r="AF8" i="1"/>
  <c r="AA8" i="1"/>
  <c r="AD5" i="1"/>
  <c r="U7" i="1"/>
  <c r="U4" i="1"/>
  <c r="I22" i="1"/>
  <c r="I19" i="1"/>
  <c r="I16" i="1"/>
  <c r="J11" i="1"/>
  <c r="K8" i="1"/>
  <c r="F8" i="1"/>
  <c r="I5" i="1"/>
  <c r="B1" i="1"/>
  <c r="B2" i="1" s="1"/>
  <c r="C32" i="4" l="1"/>
  <c r="C42" i="4" s="1"/>
  <c r="O15" i="3"/>
  <c r="C6" i="12"/>
  <c r="H27" i="3"/>
  <c r="H38" i="3" s="1"/>
  <c r="R14" i="3"/>
  <c r="E75" i="12"/>
  <c r="F23" i="14" s="1"/>
  <c r="B75" i="12"/>
  <c r="B23" i="14" s="1"/>
  <c r="J25" i="3"/>
  <c r="I7" i="12"/>
  <c r="D32" i="4"/>
  <c r="E32" i="4" s="1"/>
  <c r="E31" i="4" s="1"/>
  <c r="Q15" i="3"/>
  <c r="S13" i="3"/>
  <c r="H7" i="12" s="1"/>
  <c r="L44" i="1"/>
  <c r="Q44" i="1"/>
  <c r="K34" i="1"/>
  <c r="N34" i="1"/>
  <c r="U8" i="1"/>
  <c r="E29" i="1" s="1"/>
  <c r="AD23" i="1"/>
  <c r="K33" i="1"/>
  <c r="J12" i="1"/>
  <c r="U17" i="1" s="1"/>
  <c r="E31" i="1" s="1"/>
  <c r="N31" i="1" s="1"/>
  <c r="J70" i="1" s="1"/>
  <c r="I23" i="1"/>
  <c r="AE12" i="1"/>
  <c r="D42" i="4" l="1"/>
  <c r="E42" i="4" s="1"/>
  <c r="E41" i="4" s="1"/>
  <c r="F8" i="12" s="1"/>
  <c r="E49" i="12" s="1"/>
  <c r="G42" i="4"/>
  <c r="F9" i="12"/>
  <c r="E50" i="12" s="1"/>
  <c r="H42" i="4"/>
  <c r="J71" i="1"/>
  <c r="D83" i="1"/>
  <c r="H83" i="1"/>
  <c r="H31" i="1"/>
  <c r="H82" i="1"/>
  <c r="AC50" i="1"/>
  <c r="AG50" i="1" s="1"/>
  <c r="E40" i="4"/>
  <c r="F7" i="12" s="1"/>
  <c r="E48" i="12" s="1"/>
  <c r="H41" i="4"/>
  <c r="G41" i="4"/>
  <c r="E30" i="4"/>
  <c r="E7" i="12" s="1"/>
  <c r="B48" i="12" s="1"/>
  <c r="E8" i="12"/>
  <c r="B49" i="12" s="1"/>
  <c r="G32" i="4"/>
  <c r="E9" i="12"/>
  <c r="B50" i="12" s="1"/>
  <c r="H32" i="4"/>
  <c r="R16" i="3"/>
  <c r="I10" i="12" s="1"/>
  <c r="E76" i="12"/>
  <c r="F24" i="14" s="1"/>
  <c r="B76" i="12"/>
  <c r="B24" i="14" s="1"/>
  <c r="I8" i="12"/>
  <c r="J26" i="3"/>
  <c r="B66" i="12"/>
  <c r="B14" i="14" s="1"/>
  <c r="F66" i="12"/>
  <c r="H14" i="14" s="1"/>
  <c r="S14" i="3"/>
  <c r="T14" i="3" s="1"/>
  <c r="D61" i="3" s="1"/>
  <c r="J36" i="3"/>
  <c r="D7" i="12" s="1"/>
  <c r="C60" i="3"/>
  <c r="B57" i="12"/>
  <c r="B5" i="14" s="1"/>
  <c r="E57" i="12"/>
  <c r="F5" i="14" s="1"/>
  <c r="R15" i="3"/>
  <c r="S15" i="3" s="1"/>
  <c r="K25" i="3"/>
  <c r="T13" i="3"/>
  <c r="D60" i="3" s="1"/>
  <c r="I27" i="3"/>
  <c r="I38" i="3" s="1"/>
  <c r="E36" i="1"/>
  <c r="E37" i="1"/>
  <c r="H31" i="4"/>
  <c r="G31" i="4"/>
  <c r="G40" i="4"/>
  <c r="AG49" i="1"/>
  <c r="AE51" i="1"/>
  <c r="Z55" i="1" s="1"/>
  <c r="H29" i="1"/>
  <c r="N29" i="1"/>
  <c r="K31" i="1"/>
  <c r="E32" i="1"/>
  <c r="H32" i="1" s="1"/>
  <c r="K32" i="1" s="1"/>
  <c r="T49" i="1" s="1"/>
  <c r="E28" i="1"/>
  <c r="J41" i="1" s="1"/>
  <c r="U12" i="1"/>
  <c r="U13" i="1" s="1"/>
  <c r="E29" i="4" l="1"/>
  <c r="E6" i="12" s="1"/>
  <c r="B47" i="12" s="1"/>
  <c r="E39" i="4"/>
  <c r="F6" i="12" s="1"/>
  <c r="E47" i="12" s="1"/>
  <c r="H40" i="4"/>
  <c r="H30" i="4"/>
  <c r="G30" i="4"/>
  <c r="J28" i="3"/>
  <c r="C63" i="3" s="1"/>
  <c r="K36" i="3"/>
  <c r="C7" i="12"/>
  <c r="H8" i="12"/>
  <c r="K26" i="3"/>
  <c r="E58" i="12"/>
  <c r="F6" i="14" s="1"/>
  <c r="B58" i="12"/>
  <c r="B6" i="14" s="1"/>
  <c r="J37" i="3"/>
  <c r="D8" i="12" s="1"/>
  <c r="C61" i="3"/>
  <c r="J27" i="3"/>
  <c r="I9" i="12"/>
  <c r="K27" i="3"/>
  <c r="H9" i="12"/>
  <c r="B60" i="12"/>
  <c r="B8" i="14" s="1"/>
  <c r="E60" i="12"/>
  <c r="F8" i="14" s="1"/>
  <c r="C83" i="1"/>
  <c r="G82" i="1"/>
  <c r="I71" i="1"/>
  <c r="G83" i="1"/>
  <c r="I70" i="1"/>
  <c r="N37" i="1"/>
  <c r="H81" i="1" s="1"/>
  <c r="H84" i="1" s="1"/>
  <c r="H85" i="1" s="1"/>
  <c r="H37" i="1"/>
  <c r="K37" i="1" s="1"/>
  <c r="G81" i="1" s="1"/>
  <c r="N36" i="1"/>
  <c r="H36" i="1"/>
  <c r="K36" i="1" s="1"/>
  <c r="T15" i="3"/>
  <c r="D62" i="3" s="1"/>
  <c r="T50" i="1"/>
  <c r="X50" i="1" s="1"/>
  <c r="E30" i="1"/>
  <c r="L41" i="1" s="1"/>
  <c r="P69" i="1" s="1"/>
  <c r="P44" i="1"/>
  <c r="K29" i="1"/>
  <c r="X49" i="1" s="1"/>
  <c r="N32" i="1"/>
  <c r="AC49" i="1" s="1"/>
  <c r="AC51" i="1" s="1"/>
  <c r="N28" i="1"/>
  <c r="J68" i="1" s="1"/>
  <c r="H28" i="1"/>
  <c r="G41" i="1" s="1"/>
  <c r="H29" i="4" l="1"/>
  <c r="G29" i="4"/>
  <c r="E28" i="4"/>
  <c r="E5" i="12" s="1"/>
  <c r="B46" i="12" s="1"/>
  <c r="E38" i="4"/>
  <c r="F5" i="12" s="1"/>
  <c r="E46" i="12" s="1"/>
  <c r="H39" i="4"/>
  <c r="G39" i="4"/>
  <c r="J39" i="3"/>
  <c r="D10" i="12" s="1"/>
  <c r="K37" i="3"/>
  <c r="C8" i="12"/>
  <c r="K38" i="3"/>
  <c r="B45" i="3" s="1"/>
  <c r="C9" i="12"/>
  <c r="F68" i="12"/>
  <c r="H16" i="14" s="1"/>
  <c r="B68" i="12"/>
  <c r="B16" i="14" s="1"/>
  <c r="B67" i="12"/>
  <c r="B15" i="14" s="1"/>
  <c r="F67" i="12"/>
  <c r="H15" i="14" s="1"/>
  <c r="B59" i="12"/>
  <c r="B7" i="14" s="1"/>
  <c r="E59" i="12"/>
  <c r="F7" i="14" s="1"/>
  <c r="C62" i="3"/>
  <c r="J38" i="3"/>
  <c r="D9" i="12" s="1"/>
  <c r="P74" i="1"/>
  <c r="B43" i="9"/>
  <c r="G84" i="1"/>
  <c r="G85" i="1" s="1"/>
  <c r="D81" i="1"/>
  <c r="T51" i="1"/>
  <c r="V51" i="1"/>
  <c r="Q55" i="1" s="1"/>
  <c r="AG48" i="1"/>
  <c r="AG51" i="1" s="1"/>
  <c r="Z53" i="1" s="1"/>
  <c r="AC56" i="1" s="1"/>
  <c r="AA61" i="1" s="1"/>
  <c r="AA66" i="1" s="1"/>
  <c r="K44" i="1"/>
  <c r="H30" i="1"/>
  <c r="N30" i="1"/>
  <c r="K28" i="1"/>
  <c r="I68" i="1" s="1"/>
  <c r="G28" i="4" l="1"/>
  <c r="H28" i="4"/>
  <c r="E27" i="4"/>
  <c r="E4" i="12" s="1"/>
  <c r="B45" i="12" s="1"/>
  <c r="H38" i="4"/>
  <c r="E37" i="4"/>
  <c r="F4" i="12" s="1"/>
  <c r="E45" i="12" s="1"/>
  <c r="G38" i="4"/>
  <c r="D82" i="1"/>
  <c r="D84" i="1" s="1"/>
  <c r="D85" i="1" s="1"/>
  <c r="E89" i="1" s="1"/>
  <c r="J69" i="1"/>
  <c r="J72" i="1"/>
  <c r="C81" i="1"/>
  <c r="X48" i="1"/>
  <c r="X51" i="1" s="1"/>
  <c r="Q53" i="1" s="1"/>
  <c r="T56" i="1" s="1"/>
  <c r="Y61" i="1" s="1"/>
  <c r="Y66" i="1" s="1"/>
  <c r="R44" i="1"/>
  <c r="G57" i="1" s="1"/>
  <c r="K30" i="1"/>
  <c r="H27" i="4" l="1"/>
  <c r="H33" i="4" s="1"/>
  <c r="G27" i="4"/>
  <c r="G33" i="4" s="1"/>
  <c r="G37" i="4"/>
  <c r="G43" i="4" s="1"/>
  <c r="H37" i="4"/>
  <c r="H43" i="4" s="1"/>
  <c r="B43" i="11"/>
  <c r="B47" i="11" s="1"/>
  <c r="B52" i="11" s="1"/>
  <c r="B43" i="10"/>
  <c r="B47" i="10" s="1"/>
  <c r="B52" i="10" s="1"/>
  <c r="J73" i="1"/>
  <c r="J74" i="1" s="1"/>
  <c r="D89" i="1" s="1"/>
  <c r="F57" i="3"/>
  <c r="H57" i="3" s="1"/>
  <c r="F57" i="10"/>
  <c r="H57" i="10" s="1"/>
  <c r="F57" i="11"/>
  <c r="H57" i="11" s="1"/>
  <c r="C82" i="1"/>
  <c r="I69" i="1"/>
  <c r="I72" i="1"/>
  <c r="I41" i="1"/>
  <c r="N69" i="1" s="1"/>
  <c r="N74" i="1" s="1"/>
  <c r="B47" i="9"/>
  <c r="B52" i="9" s="1"/>
  <c r="B43" i="3"/>
  <c r="B47" i="3" s="1"/>
  <c r="B52" i="3" s="1"/>
  <c r="E94" i="1"/>
  <c r="E90" i="1"/>
  <c r="E93" i="1"/>
  <c r="E92" i="1"/>
  <c r="E91" i="1"/>
  <c r="C84" i="1"/>
  <c r="C85" i="1" s="1"/>
  <c r="C89" i="1" s="1"/>
  <c r="M44" i="1"/>
  <c r="L57" i="1" s="1"/>
  <c r="L62" i="1" s="1"/>
  <c r="G62" i="1"/>
  <c r="N57" i="1"/>
  <c r="N62" i="1" s="1"/>
  <c r="H35" i="4" l="1"/>
  <c r="B21" i="10" s="1"/>
  <c r="H45" i="4"/>
  <c r="A24" i="12" s="1"/>
  <c r="F52" i="12" s="1"/>
  <c r="F60" i="10"/>
  <c r="H60" i="10" s="1"/>
  <c r="F60" i="11"/>
  <c r="H60" i="11" s="1"/>
  <c r="F58" i="10"/>
  <c r="H58" i="10" s="1"/>
  <c r="F58" i="11"/>
  <c r="H58" i="11" s="1"/>
  <c r="I73" i="1"/>
  <c r="I74" i="1" s="1"/>
  <c r="B89" i="1" s="1"/>
  <c r="F59" i="11"/>
  <c r="H59" i="11" s="1"/>
  <c r="F59" i="10"/>
  <c r="H59" i="10" s="1"/>
  <c r="F62" i="10"/>
  <c r="H62" i="10" s="1"/>
  <c r="F62" i="11"/>
  <c r="H62" i="11" s="1"/>
  <c r="E57" i="3"/>
  <c r="G57" i="3" s="1"/>
  <c r="E57" i="11"/>
  <c r="G57" i="11" s="1"/>
  <c r="E57" i="10"/>
  <c r="G57" i="10" s="1"/>
  <c r="F61" i="10"/>
  <c r="H61" i="10" s="1"/>
  <c r="F61" i="11"/>
  <c r="H61" i="11" s="1"/>
  <c r="F61" i="3"/>
  <c r="H61" i="3" s="1"/>
  <c r="F58" i="3"/>
  <c r="H58" i="3" s="1"/>
  <c r="F59" i="3"/>
  <c r="H59" i="3" s="1"/>
  <c r="F60" i="3"/>
  <c r="H60" i="3" s="1"/>
  <c r="F62" i="3"/>
  <c r="H62" i="3" s="1"/>
  <c r="D93" i="1"/>
  <c r="D92" i="1"/>
  <c r="D91" i="1"/>
  <c r="D94" i="1"/>
  <c r="D90" i="1"/>
  <c r="C93" i="1"/>
  <c r="C92" i="1"/>
  <c r="C91" i="1"/>
  <c r="C90" i="1"/>
  <c r="C94" i="1"/>
  <c r="E57" i="1"/>
  <c r="E62" i="1" s="1"/>
  <c r="A14" i="12" l="1"/>
  <c r="C52" i="12" s="1"/>
  <c r="B21" i="11"/>
  <c r="E58" i="10"/>
  <c r="G58" i="10" s="1"/>
  <c r="E58" i="11"/>
  <c r="G58" i="11" s="1"/>
  <c r="E61" i="11"/>
  <c r="G61" i="11" s="1"/>
  <c r="E61" i="10"/>
  <c r="G61" i="10" s="1"/>
  <c r="E62" i="11"/>
  <c r="G62" i="11" s="1"/>
  <c r="E62" i="10"/>
  <c r="G62" i="10" s="1"/>
  <c r="E59" i="10"/>
  <c r="G59" i="10" s="1"/>
  <c r="E59" i="11"/>
  <c r="G59" i="11" s="1"/>
  <c r="E60" i="10"/>
  <c r="G60" i="10" s="1"/>
  <c r="E60" i="11"/>
  <c r="G60" i="11" s="1"/>
  <c r="E60" i="3"/>
  <c r="G60" i="3" s="1"/>
  <c r="E58" i="3"/>
  <c r="G58" i="3" s="1"/>
  <c r="E61" i="3"/>
  <c r="G61" i="3" s="1"/>
  <c r="E62" i="3"/>
  <c r="G62" i="3" s="1"/>
  <c r="E59" i="3"/>
  <c r="G59" i="3" s="1"/>
  <c r="B93" i="1" l="1"/>
  <c r="B92" i="1"/>
  <c r="B91" i="1"/>
  <c r="B94" i="1"/>
  <c r="B90" i="1"/>
  <c r="H63" i="12" l="1"/>
  <c r="J11" i="14" s="1"/>
  <c r="O89" i="12" l="1"/>
  <c r="O90" i="12"/>
  <c r="O91" i="12"/>
  <c r="O92" i="12"/>
  <c r="O93" i="12"/>
  <c r="O88" i="12"/>
  <c r="M89" i="12"/>
  <c r="M90" i="12"/>
  <c r="M91" i="12"/>
  <c r="M92" i="12"/>
  <c r="M93" i="12"/>
  <c r="M88" i="12"/>
  <c r="K89" i="12"/>
  <c r="K90" i="12"/>
  <c r="K91" i="12"/>
  <c r="K92" i="12"/>
  <c r="K93" i="12"/>
  <c r="K88" i="12"/>
  <c r="I89" i="12"/>
  <c r="I90" i="12"/>
  <c r="I92" i="12"/>
  <c r="I93" i="12"/>
  <c r="I88" i="12"/>
  <c r="G89" i="12"/>
  <c r="G90" i="12"/>
  <c r="G91" i="12"/>
  <c r="G92" i="12"/>
  <c r="G93" i="12"/>
  <c r="G88" i="12"/>
  <c r="E89" i="12"/>
  <c r="E90" i="12"/>
  <c r="E91" i="12"/>
  <c r="E92" i="12"/>
  <c r="E93" i="12"/>
  <c r="E88" i="12"/>
  <c r="C89" i="12"/>
  <c r="C90" i="12"/>
  <c r="C91" i="12"/>
  <c r="C92" i="12"/>
  <c r="C93" i="12"/>
  <c r="C88" i="12"/>
  <c r="Q81" i="12"/>
  <c r="Q82" i="12"/>
  <c r="Q83" i="12"/>
  <c r="Q84" i="12"/>
  <c r="Q85" i="12"/>
  <c r="Q80" i="12"/>
  <c r="O81" i="12"/>
  <c r="O82" i="12"/>
  <c r="O83" i="12"/>
  <c r="O84" i="12"/>
  <c r="O85" i="12"/>
  <c r="O80" i="12"/>
  <c r="M81" i="12"/>
  <c r="M82" i="12"/>
  <c r="M83" i="12"/>
  <c r="M84" i="12"/>
  <c r="M85" i="12"/>
  <c r="M80" i="12"/>
  <c r="K81" i="12"/>
  <c r="K82" i="12"/>
  <c r="K83" i="12"/>
  <c r="K84" i="12"/>
  <c r="K85" i="12"/>
  <c r="K80" i="12"/>
  <c r="I81" i="12"/>
  <c r="I82" i="12"/>
  <c r="I83" i="12"/>
  <c r="I84" i="12"/>
  <c r="I85" i="12"/>
  <c r="I80" i="12"/>
  <c r="G81" i="12"/>
  <c r="G82" i="12"/>
  <c r="G83" i="12"/>
  <c r="G84" i="12"/>
  <c r="G85" i="12"/>
  <c r="G80" i="12"/>
  <c r="E81" i="12"/>
  <c r="E82" i="12"/>
  <c r="E83" i="12"/>
  <c r="E84" i="12"/>
  <c r="E85" i="12"/>
  <c r="E80" i="12"/>
  <c r="C81" i="12"/>
  <c r="C82" i="12"/>
  <c r="C83" i="12"/>
  <c r="C84" i="12"/>
  <c r="C85" i="12"/>
  <c r="C80" i="12"/>
  <c r="D67" i="12" l="1"/>
  <c r="D15" i="14" s="1"/>
  <c r="E63" i="12" l="1"/>
  <c r="E11" i="14" s="1"/>
  <c r="D63" i="12"/>
  <c r="D11" i="14" s="1"/>
  <c r="H68" i="12" l="1"/>
  <c r="J16" i="14" s="1"/>
  <c r="I68" i="12"/>
  <c r="K16" i="14" s="1"/>
  <c r="H67" i="12"/>
  <c r="J15" i="14" s="1"/>
  <c r="I67" i="12"/>
  <c r="K15" i="14" s="1"/>
  <c r="H66" i="12"/>
  <c r="J14" i="14" s="1"/>
  <c r="I66" i="12"/>
  <c r="K14" i="14" s="1"/>
  <c r="H65" i="12"/>
  <c r="J13" i="14" s="1"/>
  <c r="I65" i="12"/>
  <c r="K13" i="14" s="1"/>
  <c r="H64" i="12"/>
  <c r="J12" i="14" s="1"/>
  <c r="I64" i="12"/>
  <c r="K12" i="14" s="1"/>
  <c r="I63" i="12"/>
  <c r="K11" i="14" s="1"/>
  <c r="D68" i="12"/>
  <c r="D16" i="14" s="1"/>
  <c r="E68" i="12"/>
  <c r="E16" i="14" s="1"/>
  <c r="E67" i="12"/>
  <c r="E15" i="14" s="1"/>
  <c r="D66" i="12"/>
  <c r="D14" i="14" s="1"/>
  <c r="E66" i="12"/>
  <c r="E14" i="14" s="1"/>
  <c r="D65" i="12"/>
  <c r="D13" i="14" s="1"/>
  <c r="E65" i="12"/>
  <c r="E13" i="14" s="1"/>
  <c r="D64" i="12"/>
  <c r="D12" i="14" s="1"/>
  <c r="E64" i="12"/>
  <c r="E12" i="14" s="1"/>
  <c r="G60" i="12"/>
  <c r="H8" i="14" s="1"/>
  <c r="L8" i="14" s="1"/>
  <c r="G76" i="12"/>
  <c r="H24" i="14" s="1"/>
  <c r="G59" i="12"/>
  <c r="H7" i="14" s="1"/>
  <c r="L7" i="14" s="1"/>
  <c r="G75" i="12"/>
  <c r="H23" i="14" s="1"/>
  <c r="G58" i="12"/>
  <c r="H6" i="14" s="1"/>
  <c r="L6" i="14" s="1"/>
  <c r="G74" i="12"/>
  <c r="H22" i="14" s="1"/>
  <c r="G57" i="12"/>
  <c r="H5" i="14" s="1"/>
  <c r="L5" i="14" s="1"/>
  <c r="G73" i="12"/>
  <c r="H21" i="14" s="1"/>
  <c r="G56" i="12"/>
  <c r="H4" i="14" s="1"/>
  <c r="L4" i="14" s="1"/>
  <c r="G72" i="12"/>
  <c r="H20" i="14" s="1"/>
  <c r="G55" i="12"/>
  <c r="H3" i="14" s="1"/>
  <c r="L3" i="14" s="1"/>
  <c r="G71" i="12"/>
  <c r="H19" i="14" s="1"/>
  <c r="G54" i="12"/>
  <c r="H2" i="14" s="1"/>
  <c r="L2" i="14" s="1"/>
  <c r="D60" i="12"/>
  <c r="D8" i="14" s="1"/>
  <c r="K8" i="14" s="1"/>
  <c r="D75" i="12"/>
  <c r="D23" i="14" s="1"/>
  <c r="D58" i="12"/>
  <c r="D6" i="14" s="1"/>
  <c r="K6" i="14" s="1"/>
  <c r="D74" i="12"/>
  <c r="D22" i="14" s="1"/>
  <c r="D57" i="12"/>
  <c r="D5" i="14" s="1"/>
  <c r="K5" i="14" s="1"/>
  <c r="D73" i="12"/>
  <c r="D21" i="14" s="1"/>
  <c r="D56" i="12"/>
  <c r="D4" i="14" s="1"/>
  <c r="K4" i="14" s="1"/>
  <c r="D72" i="12"/>
  <c r="D20" i="14" s="1"/>
  <c r="D55" i="12"/>
  <c r="D3" i="14" s="1"/>
  <c r="K3" i="14" s="1"/>
  <c r="D71" i="12"/>
  <c r="D19" i="14" s="1"/>
  <c r="D54" i="12"/>
  <c r="D2" i="14" s="1"/>
  <c r="K2" i="14" s="1"/>
  <c r="D76" i="12"/>
  <c r="D24" i="14" s="1"/>
  <c r="D59" i="12" l="1"/>
  <c r="D7" i="14" s="1"/>
  <c r="K7" i="14" s="1"/>
  <c r="D50" i="12" l="1"/>
  <c r="B39" i="12" s="1"/>
  <c r="C34" i="12"/>
  <c r="C37" i="12"/>
  <c r="D48" i="12"/>
  <c r="B37" i="12" s="1"/>
  <c r="C36" i="12" l="1"/>
  <c r="H37" i="12"/>
  <c r="G37" i="12"/>
  <c r="J34" i="12"/>
  <c r="G45" i="12"/>
  <c r="I34" i="12"/>
  <c r="D45" i="12"/>
  <c r="B34" i="12" s="1"/>
  <c r="C35" i="12"/>
  <c r="D46" i="12"/>
  <c r="B35" i="12" s="1"/>
  <c r="C39" i="12"/>
  <c r="I37" i="12"/>
  <c r="G48" i="12"/>
  <c r="J37" i="12"/>
  <c r="G39" i="12"/>
  <c r="H39" i="12"/>
  <c r="H35" i="12" l="1"/>
  <c r="G35" i="12"/>
  <c r="H34" i="12"/>
  <c r="G34" i="12"/>
  <c r="D49" i="12"/>
  <c r="B38" i="12" s="1"/>
  <c r="D47" i="12"/>
  <c r="B36" i="12" s="1"/>
  <c r="G50" i="12"/>
  <c r="J39" i="12"/>
  <c r="I39" i="12"/>
  <c r="J35" i="12"/>
  <c r="I35" i="12"/>
  <c r="G46" i="12"/>
  <c r="C38" i="12"/>
  <c r="G47" i="12"/>
  <c r="I36" i="12"/>
  <c r="J36" i="12"/>
  <c r="I38" i="12" l="1"/>
  <c r="I40" i="12" s="1"/>
  <c r="J38" i="12"/>
  <c r="J40" i="12" s="1"/>
  <c r="G49" i="12"/>
  <c r="H36" i="12"/>
  <c r="G36" i="12"/>
  <c r="G38" i="12"/>
  <c r="H38" i="12"/>
  <c r="H40" i="12" l="1"/>
  <c r="G40" i="12"/>
  <c r="J41" i="12"/>
  <c r="G52" i="12" s="1"/>
  <c r="H41" i="12" l="1"/>
  <c r="D52" i="12" s="1"/>
  <c r="J55" i="12" l="1"/>
</calcChain>
</file>

<file path=xl/comments1.xml><?xml version="1.0" encoding="utf-8"?>
<comments xmlns="http://schemas.openxmlformats.org/spreadsheetml/2006/main">
  <authors>
    <author>Gina</author>
    <author>utente</author>
  </authors>
  <commentList>
    <comment ref="M7" authorId="0" shapeId="0">
      <text>
        <r>
          <rPr>
            <b/>
            <sz val="9"/>
            <color indexed="81"/>
            <rFont val="Tahoma"/>
            <family val="2"/>
          </rPr>
          <t>federica:</t>
        </r>
        <r>
          <rPr>
            <sz val="9"/>
            <color indexed="81"/>
            <rFont val="Tahoma"/>
            <family val="2"/>
          </rPr>
          <t xml:space="preserve">
1 cm interno 
3 cm esterno
</t>
        </r>
      </text>
    </comment>
    <comment ref="E27" authorId="0" shapeId="0">
      <text>
        <r>
          <rPr>
            <b/>
            <sz val="9"/>
            <color indexed="81"/>
            <rFont val="Tahoma"/>
            <family val="2"/>
          </rPr>
          <t>FEDERICA:</t>
        </r>
        <r>
          <rPr>
            <sz val="9"/>
            <color indexed="81"/>
            <rFont val="Tahoma"/>
            <family val="2"/>
          </rPr>
          <t xml:space="preserve">
valore caratteristico carichi permanenti
</t>
        </r>
      </text>
    </comment>
    <comment ref="G27" authorId="0" shapeId="0">
      <text>
        <r>
          <rPr>
            <b/>
            <sz val="9"/>
            <color indexed="81"/>
            <rFont val="Tahoma"/>
            <family val="2"/>
          </rPr>
          <t>federica:</t>
        </r>
        <r>
          <rPr>
            <sz val="9"/>
            <color indexed="81"/>
            <rFont val="Tahoma"/>
            <family val="2"/>
          </rPr>
          <t xml:space="preserve">
carichi variabili</t>
        </r>
      </text>
    </comment>
    <comment ref="E33" authorId="0" shapeId="0">
      <text>
        <r>
          <rPr>
            <b/>
            <sz val="9"/>
            <color indexed="81"/>
            <rFont val="Tahoma"/>
            <family val="2"/>
          </rPr>
          <t>federica:</t>
        </r>
        <r>
          <rPr>
            <sz val="9"/>
            <color indexed="81"/>
            <rFont val="Tahoma"/>
            <family val="2"/>
          </rPr>
          <t xml:space="preserve">
valore forfettario
</t>
        </r>
      </text>
    </comment>
    <comment ref="L59" authorId="1" shapeId="0">
      <text>
        <r>
          <rPr>
            <b/>
            <sz val="9"/>
            <color indexed="81"/>
            <rFont val="Tahoma"/>
            <family val="2"/>
          </rPr>
          <t>federica:</t>
        </r>
        <r>
          <rPr>
            <sz val="9"/>
            <color indexed="81"/>
            <rFont val="Tahoma"/>
            <family val="2"/>
          </rPr>
          <t xml:space="preserve">
da mezzo pilastro a mezzo pilastro
</t>
        </r>
      </text>
    </comment>
  </commentList>
</comments>
</file>

<file path=xl/comments2.xml><?xml version="1.0" encoding="utf-8"?>
<comments xmlns="http://schemas.openxmlformats.org/spreadsheetml/2006/main">
  <authors>
    <author>utente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federica:</t>
        </r>
        <r>
          <rPr>
            <sz val="9"/>
            <color indexed="81"/>
            <rFont val="Tahoma"/>
            <family val="2"/>
          </rPr>
          <t xml:space="preserve">
m2
</t>
        </r>
      </text>
    </comment>
    <comment ref="J9" authorId="0" shapeId="0">
      <text>
        <r>
          <rPr>
            <b/>
            <sz val="9"/>
            <color indexed="81"/>
            <rFont val="Tahoma"/>
            <family val="2"/>
          </rPr>
          <t>federica:</t>
        </r>
        <r>
          <rPr>
            <sz val="9"/>
            <color indexed="81"/>
            <rFont val="Tahoma"/>
            <family val="2"/>
          </rPr>
          <t xml:space="preserve">
forza al piano
</t>
        </r>
      </text>
    </comment>
    <comment ref="K9" authorId="0" shapeId="0">
      <text>
        <r>
          <rPr>
            <b/>
            <sz val="9"/>
            <color indexed="81"/>
            <rFont val="Tahoma"/>
            <family val="2"/>
          </rPr>
          <t>federica:</t>
        </r>
        <r>
          <rPr>
            <sz val="9"/>
            <color indexed="81"/>
            <rFont val="Tahoma"/>
            <family val="2"/>
          </rPr>
          <t xml:space="preserve">
taglio globale
</t>
        </r>
      </text>
    </comment>
    <comment ref="H21" authorId="0" shapeId="0">
      <text>
        <r>
          <rPr>
            <b/>
            <sz val="9"/>
            <color indexed="81"/>
            <rFont val="Tahoma"/>
            <family val="2"/>
          </rPr>
          <t>federica:</t>
        </r>
        <r>
          <rPr>
            <sz val="9"/>
            <color indexed="81"/>
            <rFont val="Tahoma"/>
            <family val="2"/>
          </rPr>
          <t xml:space="preserve">
taglio globale
</t>
        </r>
      </text>
    </comment>
    <comment ref="A23" authorId="0" shapeId="0">
      <text>
        <r>
          <rPr>
            <b/>
            <sz val="9"/>
            <color indexed="81"/>
            <rFont val="Tahoma"/>
            <family val="2"/>
          </rPr>
          <t>federica: taglio alla base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5" authorId="0" shapeId="0">
      <text>
        <r>
          <rPr>
            <b/>
            <sz val="9"/>
            <color indexed="81"/>
            <rFont val="Tahoma"/>
            <family val="2"/>
          </rPr>
          <t>federica:</t>
        </r>
        <r>
          <rPr>
            <sz val="9"/>
            <color indexed="81"/>
            <rFont val="Tahoma"/>
            <family val="2"/>
          </rPr>
          <t xml:space="preserve">
2dei quali sono 30x30 e non li conto</t>
        </r>
      </text>
    </comment>
    <comment ref="H32" authorId="0" shapeId="0">
      <text>
        <r>
          <rPr>
            <b/>
            <sz val="9"/>
            <color indexed="81"/>
            <rFont val="Tahoma"/>
            <family val="2"/>
          </rPr>
          <t>federica:</t>
        </r>
        <r>
          <rPr>
            <sz val="9"/>
            <color indexed="81"/>
            <rFont val="Tahoma"/>
            <family val="2"/>
          </rPr>
          <t xml:space="preserve">
taglio globale
</t>
        </r>
      </text>
    </comment>
  </commentList>
</comments>
</file>

<file path=xl/comments3.xml><?xml version="1.0" encoding="utf-8"?>
<comments xmlns="http://schemas.openxmlformats.org/spreadsheetml/2006/main">
  <authors>
    <author>utente</author>
  </authors>
  <commentList>
    <comment ref="C4" authorId="0" shapeId="0">
      <text>
        <r>
          <rPr>
            <b/>
            <sz val="9"/>
            <color indexed="81"/>
            <rFont val="Tahoma"/>
            <family val="2"/>
          </rPr>
          <t>federica:
Sto considerando travi 30x60 e pilastri 30x70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federica:</t>
        </r>
        <r>
          <rPr>
            <sz val="9"/>
            <color indexed="81"/>
            <rFont val="Tahoma"/>
            <family val="2"/>
          </rPr>
          <t xml:space="preserve">
1 trave a spessore</t>
        </r>
      </text>
    </comment>
  </commentList>
</comments>
</file>

<file path=xl/comments4.xml><?xml version="1.0" encoding="utf-8"?>
<comments xmlns="http://schemas.openxmlformats.org/spreadsheetml/2006/main">
  <authors>
    <author>utente</author>
  </authors>
  <commentList>
    <comment ref="F81" authorId="0" shapeId="0">
      <text>
        <r>
          <rPr>
            <b/>
            <sz val="9"/>
            <color indexed="81"/>
            <rFont val="Tahoma"/>
            <family val="2"/>
          </rPr>
          <t>Federica:
sono uguali perché legate al fatto che le travi a spessore non cambiano tra i piani</t>
        </r>
      </text>
    </comment>
  </commentList>
</comments>
</file>

<file path=xl/sharedStrings.xml><?xml version="1.0" encoding="utf-8"?>
<sst xmlns="http://schemas.openxmlformats.org/spreadsheetml/2006/main" count="1332" uniqueCount="412">
  <si>
    <t>s[m]=</t>
  </si>
  <si>
    <t>L_max [m]=</t>
  </si>
  <si>
    <t>PESO PROPRIO VALORE CARATTERISTICO</t>
  </si>
  <si>
    <t>SOLETTA</t>
  </si>
  <si>
    <t>spessore [m]</t>
  </si>
  <si>
    <t>peso proprio [KN/m2]</t>
  </si>
  <si>
    <t>PIGNATTE</t>
  </si>
  <si>
    <t>larghezza[m]</t>
  </si>
  <si>
    <t>alette[m]</t>
  </si>
  <si>
    <t>larghezz tot</t>
  </si>
  <si>
    <t>spessore[m]</t>
  </si>
  <si>
    <t>altezza[m]</t>
  </si>
  <si>
    <t>peso[KN]</t>
  </si>
  <si>
    <t>n pignatte su m2</t>
  </si>
  <si>
    <t>peso proprio[KN/m2]</t>
  </si>
  <si>
    <t>TRAVETTI</t>
  </si>
  <si>
    <t>n travetti per m</t>
  </si>
  <si>
    <t xml:space="preserve"> peso specifico clc [KN/m3]</t>
  </si>
  <si>
    <t>peso specifico clc [KN/m3]</t>
  </si>
  <si>
    <t>MASSETTO ALLEGGERITO</t>
  </si>
  <si>
    <t>PAVIMENTO(granito)</t>
  </si>
  <si>
    <t>TOTALE</t>
  </si>
  <si>
    <t>INTONACO</t>
  </si>
  <si>
    <t>TAMPONATURA</t>
  </si>
  <si>
    <t xml:space="preserve">pignatta 1 </t>
  </si>
  <si>
    <t>pignatta 2</t>
  </si>
  <si>
    <t>peso specifico [KN/m3]</t>
  </si>
  <si>
    <t>peso specifico[KN/m3]</t>
  </si>
  <si>
    <t>soessire [m]</t>
  </si>
  <si>
    <t>altezza [m]</t>
  </si>
  <si>
    <t>peso proprio [KN/m]</t>
  </si>
  <si>
    <t>MASSETTO</t>
  </si>
  <si>
    <t xml:space="preserve">altezza [m] </t>
  </si>
  <si>
    <t>peso solaio a detrarre</t>
  </si>
  <si>
    <t>tamponatura [KN/m]</t>
  </si>
  <si>
    <t>TRAVE 113 a spessore 16-17</t>
  </si>
  <si>
    <t>TRAVE 114 emergente 21-22</t>
  </si>
  <si>
    <t>trave emergente [KN/m]</t>
  </si>
  <si>
    <t>trave a spessore [KN/m]</t>
  </si>
  <si>
    <t>BALCONE 7-11</t>
  </si>
  <si>
    <t xml:space="preserve">balcone [KN/m2] </t>
  </si>
  <si>
    <t>scala [KN/m2]</t>
  </si>
  <si>
    <t>gk</t>
  </si>
  <si>
    <t>gk tramezzi</t>
  </si>
  <si>
    <t>qk</t>
  </si>
  <si>
    <t>gd</t>
  </si>
  <si>
    <t>gd tramezzi</t>
  </si>
  <si>
    <t>qd</t>
  </si>
  <si>
    <t>qd+gd</t>
  </si>
  <si>
    <t>y2</t>
  </si>
  <si>
    <r>
      <rPr>
        <b/>
        <sz val="11"/>
        <color theme="1"/>
        <rFont val="Symbol"/>
        <family val="1"/>
        <charset val="2"/>
      </rPr>
      <t>y2</t>
    </r>
    <r>
      <rPr>
        <b/>
        <sz val="11"/>
        <color theme="1"/>
        <rFont val="Cambria"/>
        <family val="1"/>
        <scheme val="major"/>
      </rPr>
      <t>qk</t>
    </r>
  </si>
  <si>
    <t>IN ASSENZA DI SISMA</t>
  </si>
  <si>
    <t>CON SISMA</t>
  </si>
  <si>
    <r>
      <t>g</t>
    </r>
    <r>
      <rPr>
        <b/>
        <sz val="11"/>
        <color theme="1"/>
        <rFont val="Cambria"/>
        <family val="1"/>
        <scheme val="major"/>
      </rPr>
      <t>g</t>
    </r>
  </si>
  <si>
    <r>
      <t>g</t>
    </r>
    <r>
      <rPr>
        <b/>
        <sz val="11"/>
        <color theme="1"/>
        <rFont val="Cambria"/>
        <family val="1"/>
        <scheme val="major"/>
      </rPr>
      <t>q</t>
    </r>
  </si>
  <si>
    <t>/</t>
  </si>
  <si>
    <t>r</t>
  </si>
  <si>
    <t>momento [KNm]</t>
  </si>
  <si>
    <t>d[m]</t>
  </si>
  <si>
    <t>c[m]</t>
  </si>
  <si>
    <t>b[m]</t>
  </si>
  <si>
    <t xml:space="preserve">in assenza di sisma </t>
  </si>
  <si>
    <t xml:space="preserve">con sisma </t>
  </si>
  <si>
    <t>Verifica trave emergente 114</t>
  </si>
  <si>
    <t>luce [m]</t>
  </si>
  <si>
    <t xml:space="preserve">Trave emergente 114 carico </t>
  </si>
  <si>
    <t>a1</t>
  </si>
  <si>
    <t>a2</t>
  </si>
  <si>
    <t>luce 18-22</t>
  </si>
  <si>
    <t>luce 22-25</t>
  </si>
  <si>
    <t>fascia di solaio</t>
  </si>
  <si>
    <t>trave 21-22 [m]</t>
  </si>
  <si>
    <t>trave 18-22[m]</t>
  </si>
  <si>
    <t>trave 26-22[m]</t>
  </si>
  <si>
    <t>trave 23-22[m]</t>
  </si>
  <si>
    <t>Pilastro 22 carico</t>
  </si>
  <si>
    <r>
      <t>gk+</t>
    </r>
    <r>
      <rPr>
        <b/>
        <sz val="11"/>
        <color theme="1"/>
        <rFont val="Symbol"/>
        <family val="1"/>
        <charset val="2"/>
      </rPr>
      <t>y</t>
    </r>
    <r>
      <rPr>
        <b/>
        <sz val="11"/>
        <color theme="1"/>
        <rFont val="Calibri"/>
        <family val="2"/>
        <scheme val="minor"/>
      </rPr>
      <t>2qk</t>
    </r>
  </si>
  <si>
    <t>Verifica trave a spessore 113</t>
  </si>
  <si>
    <t>IMPALCATO</t>
  </si>
  <si>
    <t>SUPERFICIE</t>
  </si>
  <si>
    <t>PESO UNITARIO</t>
  </si>
  <si>
    <t>PESO IMPALCATO</t>
  </si>
  <si>
    <t>MASSA</t>
  </si>
  <si>
    <t>tot</t>
  </si>
  <si>
    <t>C1=</t>
  </si>
  <si>
    <t>T1=</t>
  </si>
  <si>
    <t>H=</t>
  </si>
  <si>
    <t>Vb=</t>
  </si>
  <si>
    <t>z</t>
  </si>
  <si>
    <t>Wz</t>
  </si>
  <si>
    <t>F</t>
  </si>
  <si>
    <t>V</t>
  </si>
  <si>
    <t>N pilastri =</t>
  </si>
  <si>
    <t>direzione x=</t>
  </si>
  <si>
    <t>direzione y=</t>
  </si>
  <si>
    <t xml:space="preserve">pilastri che contano </t>
  </si>
  <si>
    <t>&lt;---- senza torrino</t>
  </si>
  <si>
    <t>Vpil</t>
  </si>
  <si>
    <t>b</t>
  </si>
  <si>
    <t>1 piede</t>
  </si>
  <si>
    <t>Mpil</t>
  </si>
  <si>
    <t>Mtrave</t>
  </si>
  <si>
    <t>∆N(KN)</t>
  </si>
  <si>
    <t xml:space="preserve"> </t>
  </si>
  <si>
    <t>Altezza solaio =</t>
  </si>
  <si>
    <t>Altezza interpiano=</t>
  </si>
  <si>
    <t>e dell'effetto combinato delle diverse componenti</t>
  </si>
  <si>
    <t xml:space="preserve">Incremento del 20% per tenere conto dell'eccentricità accidentale </t>
  </si>
  <si>
    <t xml:space="preserve">Aumento delle solecitazioni nei pilastri per tenere conto </t>
  </si>
  <si>
    <t>Dimensionamento trave emergente</t>
  </si>
  <si>
    <t>Momento per carichi verticali con sisma</t>
  </si>
  <si>
    <t>Momento per azione sismica</t>
  </si>
  <si>
    <t>Momento massimo totale</t>
  </si>
  <si>
    <t>M=</t>
  </si>
  <si>
    <r>
      <t>M</t>
    </r>
    <r>
      <rPr>
        <sz val="8"/>
        <color theme="1"/>
        <rFont val="Calibri"/>
        <family val="2"/>
        <scheme val="minor"/>
      </rPr>
      <t>ED</t>
    </r>
    <r>
      <rPr>
        <sz val="11"/>
        <color theme="1"/>
        <rFont val="Calibri"/>
        <family val="2"/>
        <scheme val="minor"/>
      </rPr>
      <t>=</t>
    </r>
  </si>
  <si>
    <r>
      <t>calcestruzzo f</t>
    </r>
    <r>
      <rPr>
        <sz val="8"/>
        <color theme="1"/>
        <rFont val="Calibri"/>
        <family val="2"/>
        <scheme val="minor"/>
      </rPr>
      <t>ck</t>
    </r>
    <r>
      <rPr>
        <sz val="11"/>
        <color theme="1"/>
        <rFont val="Calibri"/>
        <family val="2"/>
        <scheme val="minor"/>
      </rPr>
      <t>=</t>
    </r>
  </si>
  <si>
    <t>Mpa</t>
  </si>
  <si>
    <t>b=</t>
  </si>
  <si>
    <t>c=</t>
  </si>
  <si>
    <t>d=</t>
  </si>
  <si>
    <t>r=</t>
  </si>
  <si>
    <t>m</t>
  </si>
  <si>
    <t>per tenere conto della gerarchia delle resistenza</t>
  </si>
  <si>
    <t>(considerando i valori più elevati ai piani inferiori e centrali)</t>
  </si>
  <si>
    <t>Dimensionamento pilastro</t>
  </si>
  <si>
    <t>gdsolaio+gdtramezz</t>
  </si>
  <si>
    <t>qdsolaio</t>
  </si>
  <si>
    <t>gksol+gktr</t>
  </si>
  <si>
    <t>gdsolaio+gdtramezz+pesoproprio</t>
  </si>
  <si>
    <r>
      <rPr>
        <b/>
        <sz val="11"/>
        <color theme="1"/>
        <rFont val="Symbol"/>
        <family val="1"/>
        <charset val="2"/>
      </rPr>
      <t>y2</t>
    </r>
    <r>
      <rPr>
        <b/>
        <sz val="11"/>
        <color theme="1"/>
        <rFont val="Cambria"/>
        <family val="1"/>
        <scheme val="major"/>
      </rPr>
      <t>qksolaio</t>
    </r>
  </si>
  <si>
    <t>gksolaio+gktramezz+peso proprio</t>
  </si>
  <si>
    <t xml:space="preserve">carico in assenza di sisma </t>
  </si>
  <si>
    <t>Calcolo di b</t>
  </si>
  <si>
    <t>Calcolo di d</t>
  </si>
  <si>
    <r>
      <t>carico con sisma(gk+</t>
    </r>
    <r>
      <rPr>
        <b/>
        <sz val="11"/>
        <color theme="1"/>
        <rFont val="Symbol"/>
        <family val="1"/>
        <charset val="2"/>
      </rPr>
      <t>y2</t>
    </r>
    <r>
      <rPr>
        <b/>
        <sz val="11"/>
        <color theme="1"/>
        <rFont val="Cambria"/>
        <family val="1"/>
        <scheme val="major"/>
      </rPr>
      <t>qk)</t>
    </r>
  </si>
  <si>
    <t>l trave</t>
  </si>
  <si>
    <t>sd=</t>
  </si>
  <si>
    <t>area di influenza</t>
  </si>
  <si>
    <t>gd tamp.</t>
  </si>
  <si>
    <t>totale solaio</t>
  </si>
  <si>
    <t>peso proprio</t>
  </si>
  <si>
    <t>gd+qd senza sisma</t>
  </si>
  <si>
    <t>(gd+qd)solaio</t>
  </si>
  <si>
    <t>gd tamp</t>
  </si>
  <si>
    <t>carico distribuito</t>
  </si>
  <si>
    <t>forza concentrata</t>
  </si>
  <si>
    <t>media ponderata dei carichi distribuiti</t>
  </si>
  <si>
    <t xml:space="preserve">forza concentrata distribuita sulla lunghezza e un po’ incrementata </t>
  </si>
  <si>
    <t>totale in assenza di sisma</t>
  </si>
  <si>
    <t>trave a spessore 113 con sisma</t>
  </si>
  <si>
    <t>trave a spessore 113 in assenza di sisma (gd e qd)</t>
  </si>
  <si>
    <t>gd+qd  balcone</t>
  </si>
  <si>
    <r>
      <t>gk+</t>
    </r>
    <r>
      <rPr>
        <b/>
        <sz val="11"/>
        <color theme="1"/>
        <rFont val="Calibri"/>
        <family val="2"/>
      </rPr>
      <t>ϒ</t>
    </r>
    <r>
      <rPr>
        <b/>
        <sz val="8.8000000000000007"/>
        <color theme="1"/>
        <rFont val="Calibri"/>
        <family val="2"/>
      </rPr>
      <t xml:space="preserve">2qk </t>
    </r>
    <r>
      <rPr>
        <b/>
        <sz val="11"/>
        <color theme="1"/>
        <rFont val="Calibri"/>
        <family val="2"/>
        <scheme val="minor"/>
      </rPr>
      <t>balcone</t>
    </r>
  </si>
  <si>
    <t xml:space="preserve">TOTALE </t>
  </si>
  <si>
    <t>gKtamp.</t>
  </si>
  <si>
    <t>(gK+ϒ2qk)solaio</t>
  </si>
  <si>
    <t>Gk tamp</t>
  </si>
  <si>
    <t>totale con sisma</t>
  </si>
  <si>
    <t>larghezza [m]</t>
  </si>
  <si>
    <t>a</t>
  </si>
  <si>
    <t>c</t>
  </si>
  <si>
    <t>d</t>
  </si>
  <si>
    <t>area di influenza[m2]</t>
  </si>
  <si>
    <t>totale</t>
  </si>
  <si>
    <t>solaio</t>
  </si>
  <si>
    <t>lunghezza</t>
  </si>
  <si>
    <t xml:space="preserve">pilastro più caricato </t>
  </si>
  <si>
    <t xml:space="preserve">pilastro meno caricato </t>
  </si>
  <si>
    <t>trave 4-8</t>
  </si>
  <si>
    <t>trave 4-5</t>
  </si>
  <si>
    <t>influenza</t>
  </si>
  <si>
    <t>carico senza sisma</t>
  </si>
  <si>
    <t>carico con sisma</t>
  </si>
  <si>
    <t>pilastro 4</t>
  </si>
  <si>
    <t>Pilastro 4</t>
  </si>
  <si>
    <t>con peso proprio</t>
  </si>
  <si>
    <t>ordine</t>
  </si>
  <si>
    <t xml:space="preserve">Ned SLU[KN] in assenza di sisma </t>
  </si>
  <si>
    <t>pilastro 22</t>
  </si>
  <si>
    <t xml:space="preserve">Ned SLU[KN] con sisma </t>
  </si>
  <si>
    <t>pilastro 30x70</t>
  </si>
  <si>
    <t xml:space="preserve"> carico con sisma</t>
  </si>
  <si>
    <t>solaio piano tipo [KN/m2]</t>
  </si>
  <si>
    <t>solaio terrazza [KN/m2]</t>
  </si>
  <si>
    <t>solaio copertura torrino [KN/m2]</t>
  </si>
  <si>
    <t xml:space="preserve">SOLAIO </t>
  </si>
  <si>
    <t>PESO PROPRIO VALORE CARATTERISTICO (piano tipo, terrazza e torrino)</t>
  </si>
  <si>
    <t>sovraccarichi permanenti torrino</t>
  </si>
  <si>
    <t>massetto</t>
  </si>
  <si>
    <t>spessore</t>
  </si>
  <si>
    <t>peso specifico</t>
  </si>
  <si>
    <t>intonaco</t>
  </si>
  <si>
    <t>Pilastro torrino</t>
  </si>
  <si>
    <t>trave  a sp13-14</t>
  </si>
  <si>
    <t>trave a sp13-17</t>
  </si>
  <si>
    <t xml:space="preserve">torrino </t>
  </si>
  <si>
    <t>terrazza</t>
  </si>
  <si>
    <t>p.tipo</t>
  </si>
  <si>
    <t>p.terra</t>
  </si>
  <si>
    <t>inglobo il torrino scala al sesto piano</t>
  </si>
  <si>
    <t>6+torrino</t>
  </si>
  <si>
    <t>1 testa</t>
  </si>
  <si>
    <t>N+∆N</t>
  </si>
  <si>
    <t>N-∆N</t>
  </si>
  <si>
    <t>classe di duttilità A</t>
  </si>
  <si>
    <t>travi x</t>
  </si>
  <si>
    <t>travi y</t>
  </si>
  <si>
    <t>Pilatsro</t>
  </si>
  <si>
    <t>2 travi emergenti</t>
  </si>
  <si>
    <t>1 trave emergente</t>
  </si>
  <si>
    <t>travi a spessore</t>
  </si>
  <si>
    <t xml:space="preserve">Direzione x piano tipo </t>
  </si>
  <si>
    <t xml:space="preserve">Direzione y piano tipo </t>
  </si>
  <si>
    <t>Direzione x piano terra</t>
  </si>
  <si>
    <t>Direzione y piano terra</t>
  </si>
  <si>
    <t>Direzione x terrazza</t>
  </si>
  <si>
    <t>Direzione y terrazza</t>
  </si>
  <si>
    <t>Ordine</t>
  </si>
  <si>
    <t>Kx [KN/mm2]</t>
  </si>
  <si>
    <t>Ky [KN/mm2]</t>
  </si>
  <si>
    <t>2 travi a spessore=</t>
  </si>
  <si>
    <t>1 trave a spessore=</t>
  </si>
  <si>
    <t>drx(mm)</t>
  </si>
  <si>
    <t>ux(mm)</t>
  </si>
  <si>
    <t>Fu</t>
  </si>
  <si>
    <t>somma</t>
  </si>
  <si>
    <t>mu2</t>
  </si>
  <si>
    <t>Tx=</t>
  </si>
  <si>
    <t>2trav a sp</t>
  </si>
  <si>
    <t>1trav a sp</t>
  </si>
  <si>
    <t>dry(mm)</t>
  </si>
  <si>
    <t>uy(mm)</t>
  </si>
  <si>
    <t>Ty=</t>
  </si>
  <si>
    <t>SOVRACCARICHI PERMANENTI VALORE CARATTERISTICO (piano tipo)</t>
  </si>
  <si>
    <t>PAVIMENTO(gres)</t>
  </si>
  <si>
    <t>SOVRACCARICHI PERMANENTI VALORE CARATTERISTICO(balcone e terrazza)</t>
  </si>
  <si>
    <t>area[m2]</t>
  </si>
  <si>
    <t>area[m2]=</t>
  </si>
  <si>
    <t>delle 9 pilastri  80x30 in x hanno</t>
  </si>
  <si>
    <t>delle 9 pilastri  80x30 in x 5 hanno 2 travi a spessore e 4 ne hanno solo 1</t>
  </si>
  <si>
    <t xml:space="preserve">Direzione x </t>
  </si>
  <si>
    <t xml:space="preserve">Direzione y </t>
  </si>
  <si>
    <t>30x 70 2 travi emergenti in x P23</t>
  </si>
  <si>
    <t xml:space="preserve">30x70 1 trave emergente inx P3 </t>
  </si>
  <si>
    <t xml:space="preserve">70x30 1 trave emergente in x P13 </t>
  </si>
  <si>
    <t>70x30 2 travi a aspessore in x P22</t>
  </si>
  <si>
    <t>70x30 1 trave a spessore in x P2</t>
  </si>
  <si>
    <t>30x70 2 travi emergenti in y P6</t>
  </si>
  <si>
    <t>30x70 1 trave emergente in y P13</t>
  </si>
  <si>
    <t>70x30 2 travi emergenti in y P14</t>
  </si>
  <si>
    <t>70x30 1 trave emergente in y P8</t>
  </si>
  <si>
    <t>70x30 trave a spessore in y P4</t>
  </si>
  <si>
    <t>SEZIONE 30X60</t>
  </si>
  <si>
    <t>Divido la rigidezza totale per quella del pilastro più rigido</t>
  </si>
  <si>
    <t>x- pilastri equivalenti</t>
  </si>
  <si>
    <t>y- pilastri equivalenti</t>
  </si>
  <si>
    <t>Erano stati inizialmente considerati :</t>
  </si>
  <si>
    <t>y=</t>
  </si>
  <si>
    <t>x=</t>
  </si>
  <si>
    <t>rigidezze per fila:</t>
  </si>
  <si>
    <t>sy</t>
  </si>
  <si>
    <t>sy2</t>
  </si>
  <si>
    <t>yG</t>
  </si>
  <si>
    <t>rigidezza  per colonna</t>
  </si>
  <si>
    <t>xG</t>
  </si>
  <si>
    <t>30x 80 2 travi emergenti in x P23</t>
  </si>
  <si>
    <t xml:space="preserve">30x80 1 trave emergente inx P3 </t>
  </si>
  <si>
    <t xml:space="preserve">80x30 1 trave emergente in x P13 </t>
  </si>
  <si>
    <t>80x30 2 travi a aspessore in x P22</t>
  </si>
  <si>
    <t>80x30 1 trave a spessore in x P2</t>
  </si>
  <si>
    <t>30x80 2 travi emergenti in y P6</t>
  </si>
  <si>
    <t>30x80 1 trave emergente in y P13</t>
  </si>
  <si>
    <t>80x30 2 travi emergenti in y P14</t>
  </si>
  <si>
    <t>80x30 1 trave emergente in y P8</t>
  </si>
  <si>
    <t>80x30 trave a spessore in y P4</t>
  </si>
  <si>
    <t>30x80</t>
  </si>
  <si>
    <t>80x30</t>
  </si>
  <si>
    <t xml:space="preserve">MANTENGO 30X60 fino al quarto piano e poi riduco fino a 30x50 </t>
  </si>
  <si>
    <t>30x70</t>
  </si>
  <si>
    <t>70x30</t>
  </si>
  <si>
    <t>K(30x70)</t>
  </si>
  <si>
    <t>K(70x30)</t>
  </si>
  <si>
    <t>Direzione x piano 4-5</t>
  </si>
  <si>
    <t>Direzione y piano 4-5</t>
  </si>
  <si>
    <t>hpiano =</t>
  </si>
  <si>
    <t>hpiano terra</t>
  </si>
  <si>
    <t>xM</t>
  </si>
  <si>
    <t>4-5</t>
  </si>
  <si>
    <t>2-3</t>
  </si>
  <si>
    <t>yM</t>
  </si>
  <si>
    <t>xGk</t>
  </si>
  <si>
    <t>rk x</t>
  </si>
  <si>
    <t>rk y</t>
  </si>
  <si>
    <t>xGm</t>
  </si>
  <si>
    <t>yGm</t>
  </si>
  <si>
    <t>yGK</t>
  </si>
  <si>
    <t>MED=</t>
  </si>
  <si>
    <t>calcestruzzo fck=</t>
  </si>
  <si>
    <t>fascia sol</t>
  </si>
  <si>
    <t>gdsol+gdtamp</t>
  </si>
  <si>
    <t>qd solaio</t>
  </si>
  <si>
    <t>carico no sisma</t>
  </si>
  <si>
    <t>gk sol+gk tamp</t>
  </si>
  <si>
    <t>carico sisma</t>
  </si>
  <si>
    <t>allo 0,58 devo sommare i 4 cm di copriferro</t>
  </si>
  <si>
    <t>trave emergente 115</t>
  </si>
  <si>
    <t>luce 21-25</t>
  </si>
  <si>
    <t>Verifica trave emergente 115</t>
  </si>
  <si>
    <t>T Normativa</t>
  </si>
  <si>
    <t>Tx</t>
  </si>
  <si>
    <t>più 20%</t>
  </si>
  <si>
    <t>più 5%</t>
  </si>
  <si>
    <t>Ty</t>
  </si>
  <si>
    <t>Fx</t>
  </si>
  <si>
    <t>Fy</t>
  </si>
  <si>
    <t>in y</t>
  </si>
  <si>
    <t>Previsione 1</t>
  </si>
  <si>
    <t>Previsione 2</t>
  </si>
  <si>
    <t>Analisi statica</t>
  </si>
  <si>
    <t>ux</t>
  </si>
  <si>
    <t xml:space="preserve">direzione x </t>
  </si>
  <si>
    <t>direzione y</t>
  </si>
  <si>
    <t>m(ux)2</t>
  </si>
  <si>
    <t>(Fx)(ux)</t>
  </si>
  <si>
    <t>(Fy)(uy)</t>
  </si>
  <si>
    <t>m(uy)2</t>
  </si>
  <si>
    <t>Analisi statica x</t>
  </si>
  <si>
    <t>Previsione1 x</t>
  </si>
  <si>
    <t>Previsione2 x</t>
  </si>
  <si>
    <t>Tnorm</t>
  </si>
  <si>
    <t>Tx prev2</t>
  </si>
  <si>
    <t>Tx analsi st</t>
  </si>
  <si>
    <t>Previsione1 y</t>
  </si>
  <si>
    <t>Previsione2 y</t>
  </si>
  <si>
    <t>Analisi statica y</t>
  </si>
  <si>
    <t>Ty analsi st</t>
  </si>
  <si>
    <t>Ty prev2</t>
  </si>
  <si>
    <t>senza il 20% in più</t>
  </si>
  <si>
    <t>senza incrementi</t>
  </si>
  <si>
    <t>1t</t>
  </si>
  <si>
    <t>1p</t>
  </si>
  <si>
    <t>ma molto vicina al bordo</t>
  </si>
  <si>
    <t xml:space="preserve">nello studio si era considerata una trave non perimentrale </t>
  </si>
  <si>
    <t>Mpil prev1x</t>
  </si>
  <si>
    <t>Mpil prev2x</t>
  </si>
  <si>
    <t>Mpil anal statx</t>
  </si>
  <si>
    <t>Mpil prev1y</t>
  </si>
  <si>
    <t>Mpil prev2y</t>
  </si>
  <si>
    <t>Mpil anal staty</t>
  </si>
  <si>
    <t>Mtrave prev1x</t>
  </si>
  <si>
    <t>Mtrave prev2x</t>
  </si>
  <si>
    <t>Mtrave prev1y</t>
  </si>
  <si>
    <t>Mtrave prev2y</t>
  </si>
  <si>
    <t>Mdxtrave anal statx</t>
  </si>
  <si>
    <t>Msxtrave anal statx</t>
  </si>
  <si>
    <t>Mdxtrave anal staty</t>
  </si>
  <si>
    <t>Msxtrave anal staty</t>
  </si>
  <si>
    <t>Taglio prev 1x Pil</t>
  </si>
  <si>
    <t>Taglio prev 2x Pil</t>
  </si>
  <si>
    <t>Taglio anal statx Pil</t>
  </si>
  <si>
    <t>Taglio prev 1y Pil</t>
  </si>
  <si>
    <t>Taglio prev 2y Pil</t>
  </si>
  <si>
    <t>Taglio anal staty Pil</t>
  </si>
  <si>
    <t xml:space="preserve">Taglio in direzione y si devono prendere il taglio a destra e a sinistra riferito </t>
  </si>
  <si>
    <t>agli estremi opposti</t>
  </si>
  <si>
    <t xml:space="preserve">rigidezza telaio 1 x </t>
  </si>
  <si>
    <t xml:space="preserve">rigidezza telaio 2 x </t>
  </si>
  <si>
    <t xml:space="preserve">rigidezza telaio 3 x </t>
  </si>
  <si>
    <t xml:space="preserve">rigidezza telaio 4x </t>
  </si>
  <si>
    <t xml:space="preserve">rigidezza telaio 5x </t>
  </si>
  <si>
    <t xml:space="preserve">rigidezza telaio 6x </t>
  </si>
  <si>
    <t xml:space="preserve">rigidezza telaio 7x </t>
  </si>
  <si>
    <t xml:space="preserve">rigidezza telaio 8x </t>
  </si>
  <si>
    <t>previsione</t>
  </si>
  <si>
    <t xml:space="preserve">rigidezza telaio 9 y </t>
  </si>
  <si>
    <t xml:space="preserve">rigidezza telaio 10 y </t>
  </si>
  <si>
    <t xml:space="preserve">rigidezza telaio 11 y </t>
  </si>
  <si>
    <t xml:space="preserve">rigidezza telaio 12 y </t>
  </si>
  <si>
    <t xml:space="preserve">rigidezza telaio 13 y </t>
  </si>
  <si>
    <t xml:space="preserve">rigidezza telaio 14 y </t>
  </si>
  <si>
    <t xml:space="preserve">rigidezza telaio 15 y </t>
  </si>
  <si>
    <t>Direzione x piano 5</t>
  </si>
  <si>
    <t>Direzione y piano 5</t>
  </si>
  <si>
    <t>Mpil anal modx</t>
  </si>
  <si>
    <t>Mpil anal mody</t>
  </si>
  <si>
    <t>Mdxtrave anal modx</t>
  </si>
  <si>
    <t>Msxtrave anal modx</t>
  </si>
  <si>
    <t>Mdxtrave anal mody</t>
  </si>
  <si>
    <t>Msxtrave anal mody</t>
  </si>
  <si>
    <t>Taglio anal modx Pil</t>
  </si>
  <si>
    <t>Taglio anal mody Pil</t>
  </si>
  <si>
    <t>PILASTRO 30x70</t>
  </si>
  <si>
    <t xml:space="preserve">rapporto di sd tra il più grande e il più piccolo </t>
  </si>
  <si>
    <t>il risultato meno 1 e quindi ad esempio il momento + momento per il valore ottenuto</t>
  </si>
  <si>
    <t>previsione 2</t>
  </si>
  <si>
    <t>analisi statica</t>
  </si>
  <si>
    <t>rapporto</t>
  </si>
  <si>
    <t>sd x</t>
  </si>
  <si>
    <t>sd y</t>
  </si>
  <si>
    <t>INCREMENTO</t>
  </si>
  <si>
    <t>X INCREMENTATO</t>
  </si>
  <si>
    <t>Y INCREMENTATO</t>
  </si>
  <si>
    <t xml:space="preserve">rapporto tra il periodo stimato con la formula di normativa e il minimo dei </t>
  </si>
  <si>
    <t>due valori trovati</t>
  </si>
  <si>
    <t>allo 0,59 devo sommare i 4 cm di copriferro</t>
  </si>
  <si>
    <t>PERIODO DELLA STRUTTIRA</t>
  </si>
  <si>
    <t>PIANO</t>
  </si>
  <si>
    <t>h</t>
  </si>
  <si>
    <t>5</t>
  </si>
  <si>
    <t>2-3-4</t>
  </si>
  <si>
    <r>
      <t>SK</t>
    </r>
    <r>
      <rPr>
        <b/>
        <sz val="10"/>
        <rFont val="Cambria"/>
        <family val="1"/>
        <scheme val="major"/>
      </rPr>
      <t>x</t>
    </r>
  </si>
  <si>
    <r>
      <t>S</t>
    </r>
    <r>
      <rPr>
        <b/>
        <sz val="10"/>
        <rFont val="Cambria"/>
        <family val="1"/>
        <scheme val="major"/>
      </rPr>
      <t>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</si>
</sst>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5" tint="0.7999816888943144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Symbol"/>
      <family val="1"/>
      <charset val="2"/>
    </font>
    <font>
      <b/>
      <sz val="11"/>
      <color theme="1"/>
      <name val="Cambria"/>
      <family val="1"/>
      <scheme val="major"/>
    </font>
    <font>
      <sz val="11"/>
      <color theme="5" tint="0.7999816888943144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8.8000000000000007"/>
      <color theme="1"/>
      <name val="Calibri"/>
      <family val="2"/>
    </font>
    <font>
      <b/>
      <sz val="11"/>
      <color theme="6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Symbol"/>
      <family val="1"/>
      <charset val="2"/>
    </font>
    <font>
      <b/>
      <sz val="10"/>
      <name val="Cambria"/>
      <family val="1"/>
      <scheme val="major"/>
    </font>
  </fonts>
  <fills count="4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5">
    <xf numFmtId="0" fontId="0" fillId="0" borderId="0" xfId="0"/>
    <xf numFmtId="0" fontId="0" fillId="2" borderId="1" xfId="0" applyFill="1" applyBorder="1"/>
    <xf numFmtId="2" fontId="0" fillId="2" borderId="1" xfId="0" applyNumberFormat="1" applyFill="1" applyBorder="1"/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6" borderId="1" xfId="0" applyFill="1" applyBorder="1"/>
    <xf numFmtId="0" fontId="5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9" fillId="0" borderId="0" xfId="0" applyFont="1"/>
    <xf numFmtId="0" fontId="0" fillId="0" borderId="1" xfId="0" applyBorder="1"/>
    <xf numFmtId="0" fontId="10" fillId="0" borderId="0" xfId="0" applyFont="1"/>
    <xf numFmtId="0" fontId="0" fillId="8" borderId="1" xfId="0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12" xfId="0" applyBorder="1"/>
    <xf numFmtId="0" fontId="0" fillId="0" borderId="5" xfId="0" applyBorder="1"/>
    <xf numFmtId="0" fontId="0" fillId="0" borderId="11" xfId="0" applyBorder="1"/>
    <xf numFmtId="0" fontId="0" fillId="0" borderId="8" xfId="0" applyBorder="1" applyAlignment="1">
      <alignment horizontal="center"/>
    </xf>
    <xf numFmtId="0" fontId="0" fillId="0" borderId="10" xfId="0" applyBorder="1"/>
    <xf numFmtId="0" fontId="0" fillId="0" borderId="8" xfId="0" applyBorder="1"/>
    <xf numFmtId="2" fontId="0" fillId="0" borderId="0" xfId="0" applyNumberFormat="1" applyBorder="1" applyAlignment="1">
      <alignment horizontal="center"/>
    </xf>
    <xf numFmtId="0" fontId="9" fillId="0" borderId="0" xfId="0" applyFont="1" applyBorder="1"/>
    <xf numFmtId="0" fontId="9" fillId="0" borderId="13" xfId="0" applyFont="1" applyBorder="1"/>
    <xf numFmtId="0" fontId="0" fillId="0" borderId="6" xfId="0" applyBorder="1"/>
    <xf numFmtId="0" fontId="0" fillId="0" borderId="9" xfId="0" applyBorder="1"/>
    <xf numFmtId="2" fontId="0" fillId="2" borderId="2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0" fontId="1" fillId="5" borderId="1" xfId="0" applyFont="1" applyFill="1" applyBorder="1" applyAlignment="1"/>
    <xf numFmtId="0" fontId="0" fillId="5" borderId="1" xfId="0" applyFill="1" applyBorder="1"/>
    <xf numFmtId="2" fontId="0" fillId="5" borderId="1" xfId="0" applyNumberForma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2" fontId="0" fillId="2" borderId="2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2" fontId="0" fillId="2" borderId="2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164" fontId="0" fillId="2" borderId="1" xfId="0" applyNumberFormat="1" applyFill="1" applyBorder="1"/>
    <xf numFmtId="0" fontId="0" fillId="2" borderId="1" xfId="0" applyFont="1" applyFill="1" applyBorder="1" applyAlignment="1">
      <alignment horizontal="center"/>
    </xf>
    <xf numFmtId="2" fontId="0" fillId="2" borderId="1" xfId="0" applyNumberFormat="1" applyFont="1" applyFill="1" applyBorder="1" applyAlignment="1">
      <alignment horizontal="center"/>
    </xf>
    <xf numFmtId="0" fontId="0" fillId="7" borderId="0" xfId="0" applyFill="1" applyBorder="1"/>
    <xf numFmtId="0" fontId="1" fillId="7" borderId="0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164" fontId="0" fillId="11" borderId="1" xfId="0" applyNumberForma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2" fontId="0" fillId="2" borderId="2" xfId="0" applyNumberFormat="1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/>
    </xf>
    <xf numFmtId="2" fontId="0" fillId="7" borderId="0" xfId="0" applyNumberForma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11" xfId="0" applyFont="1" applyFill="1" applyBorder="1" applyAlignment="1">
      <alignment horizontal="center"/>
    </xf>
    <xf numFmtId="0" fontId="0" fillId="2" borderId="12" xfId="0" applyFill="1" applyBorder="1"/>
    <xf numFmtId="2" fontId="0" fillId="2" borderId="14" xfId="0" applyNumberFormat="1" applyFill="1" applyBorder="1" applyAlignment="1">
      <alignment horizontal="center"/>
    </xf>
    <xf numFmtId="2" fontId="0" fillId="7" borderId="0" xfId="0" applyNumberFormat="1" applyFill="1" applyBorder="1"/>
    <xf numFmtId="0" fontId="1" fillId="2" borderId="2" xfId="0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164" fontId="0" fillId="13" borderId="1" xfId="0" applyNumberFormat="1" applyFill="1" applyBorder="1" applyAlignment="1">
      <alignment horizontal="center"/>
    </xf>
    <xf numFmtId="164" fontId="0" fillId="12" borderId="1" xfId="0" applyNumberFormat="1" applyFill="1" applyBorder="1" applyAlignment="1">
      <alignment horizontal="center"/>
    </xf>
    <xf numFmtId="164" fontId="8" fillId="1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3" borderId="12" xfId="0" applyFont="1" applyFill="1" applyBorder="1" applyAlignment="1">
      <alignment horizontal="left"/>
    </xf>
    <xf numFmtId="0" fontId="1" fillId="23" borderId="11" xfId="0" applyFont="1" applyFill="1" applyBorder="1" applyAlignment="1">
      <alignment horizontal="left"/>
    </xf>
    <xf numFmtId="0" fontId="1" fillId="23" borderId="8" xfId="0" applyFont="1" applyFill="1" applyBorder="1" applyAlignment="1">
      <alignment horizontal="left"/>
    </xf>
    <xf numFmtId="0" fontId="1" fillId="23" borderId="10" xfId="0" applyFont="1" applyFill="1" applyBorder="1" applyAlignment="1">
      <alignment horizontal="left"/>
    </xf>
    <xf numFmtId="0" fontId="1" fillId="23" borderId="13" xfId="0" applyFont="1" applyFill="1" applyBorder="1" applyAlignment="1">
      <alignment horizontal="left"/>
    </xf>
    <xf numFmtId="0" fontId="1" fillId="23" borderId="9" xfId="0" applyFont="1" applyFill="1" applyBorder="1" applyAlignment="1">
      <alignment horizontal="left"/>
    </xf>
    <xf numFmtId="0" fontId="0" fillId="23" borderId="10" xfId="0" applyFont="1" applyFill="1" applyBorder="1"/>
    <xf numFmtId="0" fontId="0" fillId="23" borderId="9" xfId="0" applyFont="1" applyFill="1" applyBorder="1"/>
    <xf numFmtId="0" fontId="2" fillId="4" borderId="1" xfId="0" applyFont="1" applyFill="1" applyBorder="1" applyAlignment="1"/>
    <xf numFmtId="0" fontId="1" fillId="0" borderId="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22" borderId="11" xfId="0" applyFont="1" applyFill="1" applyBorder="1" applyAlignment="1">
      <alignment horizontal="center"/>
    </xf>
    <xf numFmtId="0" fontId="1" fillId="22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2" fontId="1" fillId="11" borderId="0" xfId="0" applyNumberFormat="1" applyFont="1" applyFill="1" applyAlignment="1">
      <alignment horizontal="center"/>
    </xf>
    <xf numFmtId="2" fontId="1" fillId="11" borderId="6" xfId="0" applyNumberFormat="1" applyFont="1" applyFill="1" applyBorder="1" applyAlignment="1">
      <alignment horizontal="center"/>
    </xf>
    <xf numFmtId="2" fontId="1" fillId="13" borderId="0" xfId="0" applyNumberFormat="1" applyFont="1" applyFill="1" applyAlignment="1">
      <alignment horizontal="center"/>
    </xf>
    <xf numFmtId="2" fontId="1" fillId="13" borderId="13" xfId="0" applyNumberFormat="1" applyFont="1" applyFill="1" applyBorder="1" applyAlignment="1">
      <alignment horizontal="center"/>
    </xf>
    <xf numFmtId="2" fontId="1" fillId="13" borderId="12" xfId="0" applyNumberFormat="1" applyFont="1" applyFill="1" applyBorder="1" applyAlignment="1">
      <alignment horizontal="center"/>
    </xf>
    <xf numFmtId="2" fontId="1" fillId="24" borderId="0" xfId="0" applyNumberFormat="1" applyFont="1" applyFill="1" applyAlignment="1">
      <alignment horizontal="center"/>
    </xf>
    <xf numFmtId="2" fontId="1" fillId="24" borderId="6" xfId="0" applyNumberFormat="1" applyFont="1" applyFill="1" applyBorder="1" applyAlignment="1">
      <alignment horizontal="center"/>
    </xf>
    <xf numFmtId="0" fontId="1" fillId="25" borderId="12" xfId="0" applyFont="1" applyFill="1" applyBorder="1" applyAlignment="1">
      <alignment horizontal="center"/>
    </xf>
    <xf numFmtId="0" fontId="1" fillId="25" borderId="11" xfId="0" applyFont="1" applyFill="1" applyBorder="1" applyAlignment="1">
      <alignment horizontal="center"/>
    </xf>
    <xf numFmtId="0" fontId="14" fillId="0" borderId="0" xfId="0" applyFont="1" applyBorder="1"/>
    <xf numFmtId="0" fontId="1" fillId="0" borderId="1" xfId="0" applyFont="1" applyBorder="1"/>
    <xf numFmtId="0" fontId="0" fillId="0" borderId="4" xfId="0" applyBorder="1"/>
    <xf numFmtId="2" fontId="1" fillId="2" borderId="0" xfId="0" applyNumberFormat="1" applyFont="1" applyFill="1" applyAlignment="1">
      <alignment horizontal="center"/>
    </xf>
    <xf numFmtId="2" fontId="1" fillId="27" borderId="0" xfId="0" applyNumberFormat="1" applyFont="1" applyFill="1" applyAlignment="1">
      <alignment horizontal="center"/>
    </xf>
    <xf numFmtId="2" fontId="1" fillId="28" borderId="0" xfId="0" applyNumberFormat="1" applyFont="1" applyFill="1" applyAlignment="1">
      <alignment horizontal="center"/>
    </xf>
    <xf numFmtId="2" fontId="1" fillId="26" borderId="0" xfId="0" applyNumberFormat="1" applyFont="1" applyFill="1" applyAlignment="1">
      <alignment horizontal="center"/>
    </xf>
    <xf numFmtId="2" fontId="1" fillId="26" borderId="8" xfId="0" applyNumberFormat="1" applyFont="1" applyFill="1" applyBorder="1" applyAlignment="1">
      <alignment horizontal="center"/>
    </xf>
    <xf numFmtId="2" fontId="1" fillId="26" borderId="10" xfId="0" applyNumberFormat="1" applyFont="1" applyFill="1" applyBorder="1" applyAlignment="1">
      <alignment horizontal="center"/>
    </xf>
    <xf numFmtId="2" fontId="1" fillId="28" borderId="6" xfId="0" applyNumberFormat="1" applyFont="1" applyFill="1" applyBorder="1" applyAlignment="1">
      <alignment horizontal="center"/>
    </xf>
    <xf numFmtId="2" fontId="1" fillId="2" borderId="5" xfId="0" applyNumberFormat="1" applyFont="1" applyFill="1" applyBorder="1" applyAlignment="1">
      <alignment horizontal="center"/>
    </xf>
    <xf numFmtId="2" fontId="1" fillId="28" borderId="12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8" borderId="0" xfId="0" applyFont="1" applyFill="1" applyAlignment="1">
      <alignment horizontal="center"/>
    </xf>
    <xf numFmtId="0" fontId="1" fillId="10" borderId="0" xfId="0" applyFont="1" applyFill="1" applyAlignment="1">
      <alignment horizontal="center"/>
    </xf>
    <xf numFmtId="2" fontId="1" fillId="8" borderId="0" xfId="0" applyNumberFormat="1" applyFont="1" applyFill="1" applyAlignment="1">
      <alignment horizontal="center"/>
    </xf>
    <xf numFmtId="0" fontId="15" fillId="10" borderId="0" xfId="0" applyFont="1" applyFill="1" applyAlignment="1">
      <alignment horizontal="center"/>
    </xf>
    <xf numFmtId="0" fontId="0" fillId="0" borderId="1" xfId="0" applyBorder="1" applyAlignment="1"/>
    <xf numFmtId="2" fontId="0" fillId="0" borderId="1" xfId="0" applyNumberFormat="1" applyBorder="1" applyAlignment="1">
      <alignment horizontal="center"/>
    </xf>
    <xf numFmtId="2" fontId="0" fillId="0" borderId="1" xfId="0" applyNumberFormat="1" applyBorder="1"/>
    <xf numFmtId="0" fontId="0" fillId="0" borderId="14" xfId="0" applyBorder="1"/>
    <xf numFmtId="0" fontId="0" fillId="0" borderId="14" xfId="0" applyBorder="1" applyAlignment="1">
      <alignment horizontal="center"/>
    </xf>
    <xf numFmtId="164" fontId="0" fillId="0" borderId="1" xfId="0" applyNumberFormat="1" applyBorder="1"/>
    <xf numFmtId="164" fontId="0" fillId="0" borderId="14" xfId="0" applyNumberFormat="1" applyBorder="1"/>
    <xf numFmtId="2" fontId="1" fillId="29" borderId="6" xfId="0" applyNumberFormat="1" applyFont="1" applyFill="1" applyBorder="1" applyAlignment="1">
      <alignment horizontal="center"/>
    </xf>
    <xf numFmtId="2" fontId="1" fillId="12" borderId="13" xfId="0" applyNumberFormat="1" applyFont="1" applyFill="1" applyBorder="1" applyAlignment="1">
      <alignment horizontal="center"/>
    </xf>
    <xf numFmtId="2" fontId="1" fillId="3" borderId="8" xfId="0" applyNumberFormat="1" applyFont="1" applyFill="1" applyBorder="1" applyAlignment="1">
      <alignment horizontal="center"/>
    </xf>
    <xf numFmtId="2" fontId="1" fillId="3" borderId="0" xfId="0" applyNumberFormat="1" applyFont="1" applyFill="1" applyAlignment="1">
      <alignment horizontal="center"/>
    </xf>
    <xf numFmtId="2" fontId="1" fillId="30" borderId="0" xfId="0" applyNumberFormat="1" applyFont="1" applyFill="1" applyAlignment="1">
      <alignment horizontal="center"/>
    </xf>
    <xf numFmtId="2" fontId="1" fillId="21" borderId="0" xfId="0" applyNumberFormat="1" applyFont="1" applyFill="1" applyAlignment="1">
      <alignment horizontal="center"/>
    </xf>
    <xf numFmtId="2" fontId="1" fillId="29" borderId="0" xfId="0" applyNumberFormat="1" applyFont="1" applyFill="1" applyAlignment="1">
      <alignment horizontal="center"/>
    </xf>
    <xf numFmtId="2" fontId="1" fillId="3" borderId="5" xfId="0" applyNumberFormat="1" applyFont="1" applyFill="1" applyBorder="1" applyAlignment="1">
      <alignment horizontal="center"/>
    </xf>
    <xf numFmtId="2" fontId="1" fillId="29" borderId="13" xfId="0" applyNumberFormat="1" applyFont="1" applyFill="1" applyBorder="1" applyAlignment="1">
      <alignment horizontal="center"/>
    </xf>
    <xf numFmtId="2" fontId="1" fillId="30" borderId="8" xfId="0" applyNumberFormat="1" applyFont="1" applyFill="1" applyBorder="1" applyAlignment="1">
      <alignment horizontal="center"/>
    </xf>
    <xf numFmtId="2" fontId="1" fillId="11" borderId="12" xfId="0" applyNumberFormat="1" applyFont="1" applyFill="1" applyBorder="1" applyAlignment="1">
      <alignment horizontal="center"/>
    </xf>
    <xf numFmtId="0" fontId="0" fillId="11" borderId="0" xfId="0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2" fontId="1" fillId="13" borderId="0" xfId="0" applyNumberFormat="1" applyFont="1" applyFill="1" applyBorder="1" applyAlignment="1">
      <alignment horizontal="center"/>
    </xf>
    <xf numFmtId="2" fontId="1" fillId="13" borderId="6" xfId="0" applyNumberFormat="1" applyFont="1" applyFill="1" applyBorder="1" applyAlignment="1">
      <alignment horizontal="center"/>
    </xf>
    <xf numFmtId="2" fontId="1" fillId="13" borderId="5" xfId="0" applyNumberFormat="1" applyFont="1" applyFill="1" applyBorder="1" applyAlignment="1">
      <alignment horizontal="center"/>
    </xf>
    <xf numFmtId="2" fontId="1" fillId="13" borderId="11" xfId="0" applyNumberFormat="1" applyFont="1" applyFill="1" applyBorder="1" applyAlignment="1">
      <alignment horizontal="center"/>
    </xf>
    <xf numFmtId="2" fontId="1" fillId="13" borderId="9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2" fontId="1" fillId="11" borderId="8" xfId="0" applyNumberFormat="1" applyFont="1" applyFill="1" applyBorder="1" applyAlignment="1">
      <alignment horizontal="center"/>
    </xf>
    <xf numFmtId="2" fontId="1" fillId="11" borderId="0" xfId="0" applyNumberFormat="1" applyFont="1" applyFill="1" applyBorder="1" applyAlignment="1">
      <alignment horizontal="center"/>
    </xf>
    <xf numFmtId="2" fontId="1" fillId="11" borderId="1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2" fontId="1" fillId="2" borderId="12" xfId="0" applyNumberFormat="1" applyFont="1" applyFill="1" applyBorder="1" applyAlignment="1">
      <alignment horizontal="center"/>
    </xf>
    <xf numFmtId="2" fontId="1" fillId="2" borderId="13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2" fontId="1" fillId="2" borderId="9" xfId="0" applyNumberFormat="1" applyFont="1" applyFill="1" applyBorder="1" applyAlignment="1">
      <alignment horizontal="center"/>
    </xf>
    <xf numFmtId="2" fontId="1" fillId="2" borderId="11" xfId="0" applyNumberFormat="1" applyFont="1" applyFill="1" applyBorder="1" applyAlignment="1">
      <alignment horizontal="center"/>
    </xf>
    <xf numFmtId="2" fontId="1" fillId="13" borderId="8" xfId="0" applyNumberFormat="1" applyFont="1" applyFill="1" applyBorder="1" applyAlignment="1">
      <alignment horizontal="center"/>
    </xf>
    <xf numFmtId="0" fontId="1" fillId="7" borderId="0" xfId="0" applyFont="1" applyFill="1" applyBorder="1" applyAlignment="1">
      <alignment horizontal="left"/>
    </xf>
    <xf numFmtId="2" fontId="1" fillId="12" borderId="6" xfId="0" applyNumberFormat="1" applyFont="1" applyFill="1" applyBorder="1" applyAlignment="1">
      <alignment horizontal="center"/>
    </xf>
    <xf numFmtId="2" fontId="1" fillId="12" borderId="0" xfId="0" applyNumberFormat="1" applyFont="1" applyFill="1" applyAlignment="1">
      <alignment horizontal="center"/>
    </xf>
    <xf numFmtId="2" fontId="1" fillId="12" borderId="0" xfId="0" applyNumberFormat="1" applyFont="1" applyFill="1" applyBorder="1" applyAlignment="1">
      <alignment horizontal="center"/>
    </xf>
    <xf numFmtId="2" fontId="1" fillId="12" borderId="12" xfId="0" applyNumberFormat="1" applyFont="1" applyFill="1" applyBorder="1" applyAlignment="1">
      <alignment horizontal="center"/>
    </xf>
    <xf numFmtId="2" fontId="1" fillId="12" borderId="5" xfId="0" applyNumberFormat="1" applyFont="1" applyFill="1" applyBorder="1" applyAlignment="1">
      <alignment horizontal="center"/>
    </xf>
    <xf numFmtId="2" fontId="1" fillId="12" borderId="11" xfId="0" applyNumberFormat="1" applyFont="1" applyFill="1" applyBorder="1" applyAlignment="1">
      <alignment horizontal="center"/>
    </xf>
    <xf numFmtId="2" fontId="1" fillId="12" borderId="9" xfId="0" applyNumberFormat="1" applyFont="1" applyFill="1" applyBorder="1" applyAlignment="1">
      <alignment horizontal="center"/>
    </xf>
    <xf numFmtId="2" fontId="1" fillId="30" borderId="6" xfId="0" applyNumberFormat="1" applyFont="1" applyFill="1" applyBorder="1" applyAlignment="1">
      <alignment horizontal="center"/>
    </xf>
    <xf numFmtId="2" fontId="1" fillId="3" borderId="10" xfId="0" applyNumberFormat="1" applyFont="1" applyFill="1" applyBorder="1" applyAlignment="1">
      <alignment horizontal="center"/>
    </xf>
    <xf numFmtId="2" fontId="1" fillId="29" borderId="8" xfId="0" applyNumberFormat="1" applyFont="1" applyFill="1" applyBorder="1" applyAlignment="1">
      <alignment horizontal="center"/>
    </xf>
    <xf numFmtId="2" fontId="1" fillId="29" borderId="10" xfId="0" applyNumberFormat="1" applyFont="1" applyFill="1" applyBorder="1" applyAlignment="1">
      <alignment horizontal="center"/>
    </xf>
    <xf numFmtId="2" fontId="1" fillId="21" borderId="8" xfId="0" applyNumberFormat="1" applyFont="1" applyFill="1" applyBorder="1" applyAlignment="1">
      <alignment horizontal="center"/>
    </xf>
    <xf numFmtId="2" fontId="1" fillId="21" borderId="6" xfId="0" applyNumberFormat="1" applyFont="1" applyFill="1" applyBorder="1" applyAlignment="1">
      <alignment horizontal="center"/>
    </xf>
    <xf numFmtId="2" fontId="1" fillId="3" borderId="11" xfId="0" applyNumberFormat="1" applyFont="1" applyFill="1" applyBorder="1" applyAlignment="1">
      <alignment horizontal="center"/>
    </xf>
    <xf numFmtId="2" fontId="1" fillId="3" borderId="13" xfId="0" applyNumberFormat="1" applyFont="1" applyFill="1" applyBorder="1" applyAlignment="1">
      <alignment horizontal="center"/>
    </xf>
    <xf numFmtId="2" fontId="1" fillId="3" borderId="12" xfId="0" applyNumberFormat="1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/>
    </xf>
    <xf numFmtId="2" fontId="1" fillId="3" borderId="6" xfId="0" applyNumberFormat="1" applyFont="1" applyFill="1" applyBorder="1" applyAlignment="1">
      <alignment horizontal="center"/>
    </xf>
    <xf numFmtId="2" fontId="1" fillId="3" borderId="9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15" fillId="8" borderId="0" xfId="0" applyFont="1" applyFill="1" applyAlignment="1">
      <alignment horizontal="center"/>
    </xf>
    <xf numFmtId="2" fontId="1" fillId="29" borderId="9" xfId="0" applyNumberFormat="1" applyFont="1" applyFill="1" applyBorder="1" applyAlignment="1">
      <alignment horizontal="center"/>
    </xf>
    <xf numFmtId="2" fontId="1" fillId="29" borderId="11" xfId="0" applyNumberFormat="1" applyFont="1" applyFill="1" applyBorder="1" applyAlignment="1">
      <alignment horizontal="center"/>
    </xf>
    <xf numFmtId="2" fontId="1" fillId="29" borderId="5" xfId="0" applyNumberFormat="1" applyFont="1" applyFill="1" applyBorder="1" applyAlignment="1">
      <alignment horizontal="center"/>
    </xf>
    <xf numFmtId="2" fontId="1" fillId="29" borderId="12" xfId="0" applyNumberFormat="1" applyFont="1" applyFill="1" applyBorder="1" applyAlignment="1">
      <alignment horizontal="center"/>
    </xf>
    <xf numFmtId="2" fontId="1" fillId="29" borderId="0" xfId="0" applyNumberFormat="1" applyFont="1" applyFill="1" applyBorder="1" applyAlignment="1">
      <alignment horizontal="center"/>
    </xf>
    <xf numFmtId="2" fontId="1" fillId="13" borderId="10" xfId="0" applyNumberFormat="1" applyFont="1" applyFill="1" applyBorder="1" applyAlignment="1">
      <alignment horizontal="center"/>
    </xf>
    <xf numFmtId="0" fontId="1" fillId="31" borderId="0" xfId="0" applyFont="1" applyFill="1" applyBorder="1" applyAlignment="1">
      <alignment horizontal="left"/>
    </xf>
    <xf numFmtId="0" fontId="16" fillId="7" borderId="0" xfId="0" applyFont="1" applyFill="1" applyBorder="1" applyAlignment="1">
      <alignment horizontal="left"/>
    </xf>
    <xf numFmtId="0" fontId="9" fillId="0" borderId="0" xfId="0" applyFont="1" applyAlignment="1">
      <alignment horizontal="center"/>
    </xf>
    <xf numFmtId="0" fontId="0" fillId="18" borderId="1" xfId="0" applyFill="1" applyBorder="1" applyAlignment="1">
      <alignment horizontal="center"/>
    </xf>
    <xf numFmtId="2" fontId="0" fillId="18" borderId="1" xfId="0" applyNumberFormat="1" applyFill="1" applyBorder="1" applyAlignment="1">
      <alignment horizontal="center"/>
    </xf>
    <xf numFmtId="0" fontId="0" fillId="26" borderId="1" xfId="0" applyFill="1" applyBorder="1" applyAlignment="1">
      <alignment horizontal="center"/>
    </xf>
    <xf numFmtId="0" fontId="1" fillId="7" borderId="0" xfId="0" applyFont="1" applyFill="1" applyAlignment="1">
      <alignment horizontal="center"/>
    </xf>
    <xf numFmtId="2" fontId="1" fillId="2" borderId="10" xfId="0" applyNumberFormat="1" applyFont="1" applyFill="1" applyBorder="1" applyAlignment="1">
      <alignment horizontal="center"/>
    </xf>
    <xf numFmtId="2" fontId="1" fillId="32" borderId="0" xfId="0" applyNumberFormat="1" applyFont="1" applyFill="1" applyAlignment="1">
      <alignment horizontal="center"/>
    </xf>
    <xf numFmtId="2" fontId="1" fillId="32" borderId="8" xfId="0" applyNumberFormat="1" applyFont="1" applyFill="1" applyBorder="1" applyAlignment="1">
      <alignment horizontal="center"/>
    </xf>
    <xf numFmtId="0" fontId="1" fillId="26" borderId="1" xfId="0" applyFont="1" applyFill="1" applyBorder="1" applyAlignment="1">
      <alignment horizontal="center"/>
    </xf>
    <xf numFmtId="2" fontId="15" fillId="8" borderId="0" xfId="0" applyNumberFormat="1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2" fontId="0" fillId="2" borderId="15" xfId="0" applyNumberFormat="1" applyFill="1" applyBorder="1" applyAlignment="1">
      <alignment horizontal="center"/>
    </xf>
    <xf numFmtId="2" fontId="0" fillId="0" borderId="0" xfId="0" applyNumberFormat="1" applyBorder="1"/>
    <xf numFmtId="0" fontId="0" fillId="0" borderId="13" xfId="0" applyBorder="1"/>
    <xf numFmtId="0" fontId="1" fillId="0" borderId="12" xfId="0" applyFont="1" applyBorder="1"/>
    <xf numFmtId="0" fontId="1" fillId="0" borderId="5" xfId="0" applyFont="1" applyBorder="1"/>
    <xf numFmtId="2" fontId="0" fillId="0" borderId="6" xfId="0" applyNumberFormat="1" applyBorder="1"/>
    <xf numFmtId="0" fontId="0" fillId="0" borderId="1" xfId="0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left"/>
    </xf>
    <xf numFmtId="165" fontId="0" fillId="0" borderId="1" xfId="0" applyNumberFormat="1" applyBorder="1"/>
    <xf numFmtId="0" fontId="10" fillId="0" borderId="1" xfId="0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0" fontId="1" fillId="0" borderId="0" xfId="0" applyFont="1" applyBorder="1"/>
    <xf numFmtId="165" fontId="0" fillId="8" borderId="1" xfId="0" applyNumberForma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/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2" fontId="0" fillId="7" borderId="1" xfId="0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9" fontId="1" fillId="5" borderId="1" xfId="0" applyNumberFormat="1" applyFont="1" applyFill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" xfId="0" applyBorder="1"/>
    <xf numFmtId="0" fontId="1" fillId="33" borderId="0" xfId="0" applyFont="1" applyFill="1"/>
    <xf numFmtId="0" fontId="1" fillId="33" borderId="0" xfId="0" applyFont="1" applyFill="1" applyBorder="1" applyAlignment="1">
      <alignment horizontal="center"/>
    </xf>
    <xf numFmtId="0" fontId="1" fillId="33" borderId="8" xfId="0" applyFont="1" applyFill="1" applyBorder="1" applyAlignment="1">
      <alignment horizontal="center"/>
    </xf>
    <xf numFmtId="0" fontId="1" fillId="34" borderId="1" xfId="0" applyFont="1" applyFill="1" applyBorder="1" applyAlignment="1">
      <alignment horizontal="center"/>
    </xf>
    <xf numFmtId="0" fontId="15" fillId="34" borderId="1" xfId="0" applyFont="1" applyFill="1" applyBorder="1" applyAlignment="1">
      <alignment horizontal="center"/>
    </xf>
    <xf numFmtId="0" fontId="17" fillId="34" borderId="1" xfId="0" applyFont="1" applyFill="1" applyBorder="1" applyAlignment="1">
      <alignment horizontal="center"/>
    </xf>
    <xf numFmtId="0" fontId="1" fillId="33" borderId="1" xfId="0" applyFont="1" applyFill="1" applyBorder="1" applyAlignment="1">
      <alignment horizontal="center"/>
    </xf>
    <xf numFmtId="0" fontId="15" fillId="33" borderId="1" xfId="0" applyFont="1" applyFill="1" applyBorder="1" applyAlignment="1">
      <alignment horizontal="center"/>
    </xf>
    <xf numFmtId="0" fontId="17" fillId="33" borderId="1" xfId="0" applyFont="1" applyFill="1" applyBorder="1" applyAlignment="1">
      <alignment horizontal="center"/>
    </xf>
    <xf numFmtId="2" fontId="0" fillId="35" borderId="1" xfId="0" applyNumberFormat="1" applyFill="1" applyBorder="1" applyAlignment="1">
      <alignment horizontal="center"/>
    </xf>
    <xf numFmtId="164" fontId="0" fillId="35" borderId="1" xfId="0" applyNumberFormat="1" applyFill="1" applyBorder="1" applyAlignment="1">
      <alignment horizontal="center"/>
    </xf>
    <xf numFmtId="165" fontId="8" fillId="35" borderId="1" xfId="0" applyNumberFormat="1" applyFont="1" applyFill="1" applyBorder="1" applyAlignment="1">
      <alignment horizontal="center"/>
    </xf>
    <xf numFmtId="165" fontId="0" fillId="35" borderId="1" xfId="0" applyNumberFormat="1" applyFill="1" applyBorder="1" applyAlignment="1">
      <alignment horizontal="center"/>
    </xf>
    <xf numFmtId="2" fontId="0" fillId="37" borderId="1" xfId="0" applyNumberFormat="1" applyFill="1" applyBorder="1" applyAlignment="1">
      <alignment horizontal="center"/>
    </xf>
    <xf numFmtId="164" fontId="0" fillId="37" borderId="1" xfId="0" applyNumberFormat="1" applyFill="1" applyBorder="1" applyAlignment="1">
      <alignment horizontal="center"/>
    </xf>
    <xf numFmtId="165" fontId="8" fillId="37" borderId="1" xfId="0" applyNumberFormat="1" applyFont="1" applyFill="1" applyBorder="1" applyAlignment="1">
      <alignment horizontal="center"/>
    </xf>
    <xf numFmtId="0" fontId="0" fillId="37" borderId="1" xfId="0" applyFill="1" applyBorder="1" applyAlignment="1">
      <alignment horizontal="center"/>
    </xf>
    <xf numFmtId="0" fontId="18" fillId="34" borderId="1" xfId="0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/>
    </xf>
    <xf numFmtId="0" fontId="18" fillId="33" borderId="1" xfId="0" applyFont="1" applyFill="1" applyBorder="1" applyAlignment="1">
      <alignment horizontal="center"/>
    </xf>
    <xf numFmtId="0" fontId="0" fillId="38" borderId="0" xfId="0" applyFill="1"/>
    <xf numFmtId="2" fontId="0" fillId="0" borderId="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26" borderId="0" xfId="0" applyFont="1" applyFill="1" applyAlignment="1">
      <alignment horizontal="center"/>
    </xf>
    <xf numFmtId="0" fontId="1" fillId="26" borderId="1" xfId="0" applyFont="1" applyFill="1" applyBorder="1"/>
    <xf numFmtId="2" fontId="19" fillId="6" borderId="1" xfId="0" applyNumberFormat="1" applyFont="1" applyFill="1" applyBorder="1" applyAlignment="1">
      <alignment horizontal="center"/>
    </xf>
    <xf numFmtId="2" fontId="19" fillId="5" borderId="1" xfId="0" applyNumberFormat="1" applyFont="1" applyFill="1" applyBorder="1" applyAlignment="1">
      <alignment horizontal="center"/>
    </xf>
    <xf numFmtId="2" fontId="19" fillId="2" borderId="1" xfId="0" applyNumberFormat="1" applyFont="1" applyFill="1" applyBorder="1" applyAlignment="1">
      <alignment horizontal="center"/>
    </xf>
    <xf numFmtId="2" fontId="19" fillId="36" borderId="1" xfId="0" applyNumberFormat="1" applyFont="1" applyFill="1" applyBorder="1" applyAlignment="1">
      <alignment horizontal="center"/>
    </xf>
    <xf numFmtId="2" fontId="19" fillId="22" borderId="1" xfId="0" applyNumberFormat="1" applyFont="1" applyFill="1" applyBorder="1" applyAlignment="1">
      <alignment horizontal="center"/>
    </xf>
    <xf numFmtId="2" fontId="19" fillId="18" borderId="1" xfId="0" applyNumberFormat="1" applyFont="1" applyFill="1" applyBorder="1" applyAlignment="1">
      <alignment horizontal="center"/>
    </xf>
    <xf numFmtId="2" fontId="19" fillId="19" borderId="1" xfId="0" applyNumberFormat="1" applyFont="1" applyFill="1" applyBorder="1" applyAlignment="1">
      <alignment horizontal="center"/>
    </xf>
    <xf numFmtId="2" fontId="19" fillId="39" borderId="1" xfId="0" applyNumberFormat="1" applyFont="1" applyFill="1" applyBorder="1" applyAlignment="1">
      <alignment horizontal="center"/>
    </xf>
    <xf numFmtId="2" fontId="19" fillId="40" borderId="1" xfId="0" applyNumberFormat="1" applyFont="1" applyFill="1" applyBorder="1" applyAlignment="1">
      <alignment horizontal="center"/>
    </xf>
    <xf numFmtId="2" fontId="19" fillId="25" borderId="1" xfId="0" applyNumberFormat="1" applyFont="1" applyFill="1" applyBorder="1" applyAlignment="1">
      <alignment horizontal="center"/>
    </xf>
    <xf numFmtId="2" fontId="19" fillId="9" borderId="1" xfId="0" applyNumberFormat="1" applyFont="1" applyFill="1" applyBorder="1" applyAlignment="1">
      <alignment horizontal="center"/>
    </xf>
    <xf numFmtId="2" fontId="19" fillId="23" borderId="1" xfId="0" applyNumberFormat="1" applyFont="1" applyFill="1" applyBorder="1" applyAlignment="1">
      <alignment horizontal="center"/>
    </xf>
    <xf numFmtId="2" fontId="19" fillId="20" borderId="1" xfId="0" applyNumberFormat="1" applyFont="1" applyFill="1" applyBorder="1" applyAlignment="1">
      <alignment horizontal="center"/>
    </xf>
    <xf numFmtId="2" fontId="19" fillId="34" borderId="1" xfId="0" applyNumberFormat="1" applyFont="1" applyFill="1" applyBorder="1" applyAlignment="1">
      <alignment horizontal="center"/>
    </xf>
    <xf numFmtId="2" fontId="19" fillId="33" borderId="1" xfId="0" applyNumberFormat="1" applyFont="1" applyFill="1" applyBorder="1" applyAlignment="1">
      <alignment horizontal="center"/>
    </xf>
    <xf numFmtId="2" fontId="1" fillId="26" borderId="1" xfId="0" applyNumberFormat="1" applyFont="1" applyFill="1" applyBorder="1" applyAlignment="1">
      <alignment horizontal="center"/>
    </xf>
    <xf numFmtId="2" fontId="1" fillId="26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2" fontId="0" fillId="41" borderId="1" xfId="0" applyNumberFormat="1" applyFill="1" applyBorder="1" applyAlignment="1">
      <alignment horizontal="center"/>
    </xf>
    <xf numFmtId="0" fontId="0" fillId="41" borderId="1" xfId="0" applyFill="1" applyBorder="1" applyAlignment="1">
      <alignment horizontal="center"/>
    </xf>
    <xf numFmtId="0" fontId="19" fillId="26" borderId="1" xfId="0" applyFont="1" applyFill="1" applyBorder="1" applyAlignment="1">
      <alignment horizontal="center"/>
    </xf>
    <xf numFmtId="0" fontId="19" fillId="14" borderId="1" xfId="0" applyFont="1" applyFill="1" applyBorder="1" applyAlignment="1">
      <alignment horizontal="center"/>
    </xf>
    <xf numFmtId="0" fontId="1" fillId="4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8" borderId="0" xfId="0" applyFill="1"/>
    <xf numFmtId="0" fontId="19" fillId="14" borderId="8" xfId="0" applyFont="1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2" fontId="0" fillId="7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7" borderId="1" xfId="0" applyFont="1" applyFill="1" applyBorder="1" applyAlignment="1">
      <alignment horizontal="center"/>
    </xf>
    <xf numFmtId="0" fontId="15" fillId="7" borderId="1" xfId="0" applyFont="1" applyFill="1" applyBorder="1" applyAlignment="1">
      <alignment horizontal="center"/>
    </xf>
    <xf numFmtId="164" fontId="8" fillId="7" borderId="1" xfId="0" applyNumberFormat="1" applyFont="1" applyFill="1" applyBorder="1" applyAlignment="1">
      <alignment horizontal="center"/>
    </xf>
    <xf numFmtId="0" fontId="20" fillId="7" borderId="1" xfId="0" applyFont="1" applyFill="1" applyBorder="1" applyAlignment="1">
      <alignment horizontal="center"/>
    </xf>
    <xf numFmtId="0" fontId="21" fillId="7" borderId="1" xfId="0" applyFont="1" applyFill="1" applyBorder="1" applyAlignment="1">
      <alignment horizontal="center"/>
    </xf>
    <xf numFmtId="0" fontId="15" fillId="7" borderId="1" xfId="0" applyFont="1" applyFill="1" applyBorder="1" applyAlignment="1"/>
    <xf numFmtId="0" fontId="8" fillId="7" borderId="1" xfId="0" applyFont="1" applyFill="1" applyBorder="1" applyAlignment="1">
      <alignment horizontal="center" vertical="center"/>
    </xf>
    <xf numFmtId="165" fontId="8" fillId="7" borderId="1" xfId="0" applyNumberFormat="1" applyFont="1" applyFill="1" applyBorder="1" applyAlignment="1">
      <alignment horizontal="center"/>
    </xf>
    <xf numFmtId="0" fontId="21" fillId="7" borderId="1" xfId="0" applyFont="1" applyFill="1" applyBorder="1" applyAlignment="1"/>
    <xf numFmtId="2" fontId="8" fillId="7" borderId="1" xfId="0" applyNumberFormat="1" applyFont="1" applyFill="1" applyBorder="1" applyAlignment="1">
      <alignment horizontal="center"/>
    </xf>
    <xf numFmtId="0" fontId="8" fillId="7" borderId="0" xfId="0" applyFont="1" applyFill="1"/>
    <xf numFmtId="0" fontId="15" fillId="7" borderId="0" xfId="0" applyFont="1" applyFill="1"/>
    <xf numFmtId="164" fontId="0" fillId="7" borderId="1" xfId="0" applyNumberFormat="1" applyFill="1" applyBorder="1" applyAlignment="1">
      <alignment horizontal="center"/>
    </xf>
    <xf numFmtId="0" fontId="15" fillId="7" borderId="1" xfId="0" applyFont="1" applyFill="1" applyBorder="1" applyAlignment="1">
      <alignment horizontal="left"/>
    </xf>
    <xf numFmtId="0" fontId="15" fillId="7" borderId="7" xfId="0" applyFont="1" applyFill="1" applyBorder="1" applyAlignment="1">
      <alignment horizontal="center"/>
    </xf>
    <xf numFmtId="0" fontId="15" fillId="7" borderId="1" xfId="0" applyFont="1" applyFill="1" applyBorder="1"/>
    <xf numFmtId="0" fontId="1" fillId="7" borderId="0" xfId="0" applyFont="1" applyFill="1"/>
    <xf numFmtId="0" fontId="15" fillId="7" borderId="2" xfId="0" applyFont="1" applyFill="1" applyBorder="1"/>
    <xf numFmtId="0" fontId="15" fillId="7" borderId="3" xfId="0" applyFont="1" applyFill="1" applyBorder="1"/>
    <xf numFmtId="0" fontId="15" fillId="7" borderId="4" xfId="0" applyFont="1" applyFill="1" applyBorder="1"/>
    <xf numFmtId="0" fontId="15" fillId="7" borderId="8" xfId="0" applyFont="1" applyFill="1" applyBorder="1" applyAlignment="1">
      <alignment horizontal="center"/>
    </xf>
    <xf numFmtId="0" fontId="8" fillId="7" borderId="7" xfId="0" applyFont="1" applyFill="1" applyBorder="1" applyAlignment="1">
      <alignment horizontal="center"/>
    </xf>
    <xf numFmtId="0" fontId="8" fillId="7" borderId="1" xfId="0" applyFont="1" applyFill="1" applyBorder="1"/>
    <xf numFmtId="0" fontId="8" fillId="0" borderId="0" xfId="0" applyFont="1"/>
    <xf numFmtId="0" fontId="17" fillId="23" borderId="12" xfId="0" applyFont="1" applyFill="1" applyBorder="1" applyAlignment="1">
      <alignment horizontal="left"/>
    </xf>
    <xf numFmtId="0" fontId="17" fillId="23" borderId="11" xfId="0" applyFont="1" applyFill="1" applyBorder="1" applyAlignment="1">
      <alignment horizontal="left"/>
    </xf>
    <xf numFmtId="0" fontId="22" fillId="0" borderId="0" xfId="0" applyFont="1"/>
    <xf numFmtId="0" fontId="17" fillId="23" borderId="8" xfId="0" applyFont="1" applyFill="1" applyBorder="1" applyAlignment="1">
      <alignment horizontal="left"/>
    </xf>
    <xf numFmtId="0" fontId="17" fillId="23" borderId="10" xfId="0" applyFont="1" applyFill="1" applyBorder="1" applyAlignment="1">
      <alignment horizontal="left"/>
    </xf>
    <xf numFmtId="0" fontId="17" fillId="14" borderId="1" xfId="0" applyFont="1" applyFill="1" applyBorder="1" applyAlignment="1">
      <alignment horizontal="center"/>
    </xf>
    <xf numFmtId="0" fontId="17" fillId="18" borderId="1" xfId="0" applyFont="1" applyFill="1" applyBorder="1" applyAlignment="1">
      <alignment horizontal="center"/>
    </xf>
    <xf numFmtId="0" fontId="17" fillId="23" borderId="1" xfId="0" applyFont="1" applyFill="1" applyBorder="1" applyAlignment="1">
      <alignment horizontal="center"/>
    </xf>
    <xf numFmtId="0" fontId="22" fillId="15" borderId="1" xfId="0" applyFont="1" applyFill="1" applyBorder="1" applyAlignment="1">
      <alignment horizontal="center"/>
    </xf>
    <xf numFmtId="0" fontId="22" fillId="19" borderId="1" xfId="0" applyFont="1" applyFill="1" applyBorder="1" applyAlignment="1">
      <alignment horizontal="center"/>
    </xf>
    <xf numFmtId="0" fontId="22" fillId="23" borderId="1" xfId="0" applyFont="1" applyFill="1" applyBorder="1" applyAlignment="1">
      <alignment horizontal="center"/>
    </xf>
    <xf numFmtId="0" fontId="17" fillId="23" borderId="13" xfId="0" applyFont="1" applyFill="1" applyBorder="1" applyAlignment="1">
      <alignment horizontal="left"/>
    </xf>
    <xf numFmtId="0" fontId="17" fillId="23" borderId="9" xfId="0" applyFont="1" applyFill="1" applyBorder="1" applyAlignment="1">
      <alignment horizontal="left"/>
    </xf>
    <xf numFmtId="2" fontId="22" fillId="15" borderId="1" xfId="0" applyNumberFormat="1" applyFont="1" applyFill="1" applyBorder="1" applyAlignment="1">
      <alignment horizontal="center"/>
    </xf>
    <xf numFmtId="2" fontId="22" fillId="19" borderId="1" xfId="0" applyNumberFormat="1" applyFont="1" applyFill="1" applyBorder="1" applyAlignment="1">
      <alignment horizontal="center"/>
    </xf>
    <xf numFmtId="0" fontId="17" fillId="23" borderId="1" xfId="0" applyFont="1" applyFill="1" applyBorder="1"/>
    <xf numFmtId="0" fontId="22" fillId="23" borderId="0" xfId="0" applyFont="1" applyFill="1" applyBorder="1"/>
    <xf numFmtId="0" fontId="22" fillId="23" borderId="10" xfId="0" applyFont="1" applyFill="1" applyBorder="1"/>
    <xf numFmtId="2" fontId="23" fillId="15" borderId="1" xfId="0" applyNumberFormat="1" applyFont="1" applyFill="1" applyBorder="1" applyAlignment="1">
      <alignment horizontal="center"/>
    </xf>
    <xf numFmtId="0" fontId="22" fillId="14" borderId="1" xfId="0" applyFont="1" applyFill="1" applyBorder="1"/>
    <xf numFmtId="0" fontId="17" fillId="18" borderId="4" xfId="0" applyFont="1" applyFill="1" applyBorder="1" applyAlignment="1">
      <alignment horizontal="center"/>
    </xf>
    <xf numFmtId="2" fontId="23" fillId="19" borderId="1" xfId="0" applyNumberFormat="1" applyFont="1" applyFill="1" applyBorder="1" applyAlignment="1">
      <alignment horizontal="center"/>
    </xf>
    <xf numFmtId="0" fontId="22" fillId="18" borderId="1" xfId="0" applyFont="1" applyFill="1" applyBorder="1"/>
    <xf numFmtId="0" fontId="22" fillId="0" borderId="0" xfId="0" applyFont="1" applyAlignment="1">
      <alignment horizontal="center"/>
    </xf>
    <xf numFmtId="0" fontId="17" fillId="16" borderId="1" xfId="0" applyFont="1" applyFill="1" applyBorder="1" applyAlignment="1">
      <alignment horizontal="center"/>
    </xf>
    <xf numFmtId="0" fontId="22" fillId="23" borderId="9" xfId="0" applyFont="1" applyFill="1" applyBorder="1"/>
    <xf numFmtId="0" fontId="17" fillId="22" borderId="1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0" fontId="24" fillId="7" borderId="1" xfId="0" applyFont="1" applyFill="1" applyBorder="1" applyAlignment="1">
      <alignment horizontal="center"/>
    </xf>
    <xf numFmtId="0" fontId="22" fillId="20" borderId="1" xfId="0" applyFont="1" applyFill="1" applyBorder="1" applyAlignment="1">
      <alignment horizontal="center"/>
    </xf>
    <xf numFmtId="0" fontId="22" fillId="18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/>
    </xf>
    <xf numFmtId="164" fontId="25" fillId="7" borderId="1" xfId="0" applyNumberFormat="1" applyFont="1" applyFill="1" applyBorder="1" applyAlignment="1">
      <alignment horizontal="center"/>
    </xf>
    <xf numFmtId="2" fontId="22" fillId="20" borderId="1" xfId="0" applyNumberFormat="1" applyFont="1" applyFill="1" applyBorder="1" applyAlignment="1">
      <alignment horizontal="center"/>
    </xf>
    <xf numFmtId="2" fontId="22" fillId="18" borderId="1" xfId="0" applyNumberFormat="1" applyFont="1" applyFill="1" applyBorder="1" applyAlignment="1">
      <alignment horizontal="center"/>
    </xf>
    <xf numFmtId="2" fontId="23" fillId="20" borderId="1" xfId="0" applyNumberFormat="1" applyFont="1" applyFill="1" applyBorder="1" applyAlignment="1">
      <alignment horizontal="center"/>
    </xf>
    <xf numFmtId="0" fontId="22" fillId="22" borderId="1" xfId="0" applyFont="1" applyFill="1" applyBorder="1"/>
    <xf numFmtId="2" fontId="23" fillId="18" borderId="1" xfId="0" applyNumberFormat="1" applyFont="1" applyFill="1" applyBorder="1" applyAlignment="1">
      <alignment horizontal="center"/>
    </xf>
    <xf numFmtId="0" fontId="22" fillId="2" borderId="1" xfId="0" applyFont="1" applyFill="1" applyBorder="1"/>
    <xf numFmtId="0" fontId="22" fillId="7" borderId="0" xfId="0" applyFont="1" applyFill="1"/>
    <xf numFmtId="2" fontId="25" fillId="7" borderId="1" xfId="0" applyNumberFormat="1" applyFont="1" applyFill="1" applyBorder="1" applyAlignment="1">
      <alignment horizontal="center"/>
    </xf>
    <xf numFmtId="0" fontId="25" fillId="7" borderId="0" xfId="0" applyFont="1" applyFill="1"/>
    <xf numFmtId="165" fontId="24" fillId="7" borderId="1" xfId="0" applyNumberFormat="1" applyFont="1" applyFill="1" applyBorder="1" applyAlignment="1">
      <alignment horizontal="center"/>
    </xf>
    <xf numFmtId="0" fontId="24" fillId="13" borderId="0" xfId="0" applyFont="1" applyFill="1" applyAlignment="1">
      <alignment horizontal="center"/>
    </xf>
    <xf numFmtId="165" fontId="24" fillId="13" borderId="0" xfId="0" applyNumberFormat="1" applyFont="1" applyFill="1" applyAlignment="1">
      <alignment horizontal="center"/>
    </xf>
    <xf numFmtId="0" fontId="17" fillId="0" borderId="1" xfId="0" applyFont="1" applyBorder="1"/>
    <xf numFmtId="0" fontId="22" fillId="0" borderId="3" xfId="0" applyFont="1" applyBorder="1"/>
    <xf numFmtId="0" fontId="22" fillId="0" borderId="4" xfId="0" applyFont="1" applyBorder="1"/>
    <xf numFmtId="0" fontId="17" fillId="7" borderId="1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/>
    </xf>
    <xf numFmtId="2" fontId="22" fillId="7" borderId="1" xfId="0" applyNumberFormat="1" applyFont="1" applyFill="1" applyBorder="1" applyAlignment="1">
      <alignment horizontal="center"/>
    </xf>
    <xf numFmtId="0" fontId="17" fillId="10" borderId="1" xfId="0" applyFont="1" applyFill="1" applyBorder="1" applyAlignment="1">
      <alignment horizontal="center"/>
    </xf>
    <xf numFmtId="49" fontId="17" fillId="7" borderId="1" xfId="0" applyNumberFormat="1" applyFont="1" applyFill="1" applyBorder="1" applyAlignment="1">
      <alignment horizontal="center"/>
    </xf>
    <xf numFmtId="0" fontId="26" fillId="7" borderId="1" xfId="0" applyFont="1" applyFill="1" applyBorder="1" applyAlignment="1">
      <alignment horizontal="center"/>
    </xf>
    <xf numFmtId="0" fontId="25" fillId="7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164" fontId="0" fillId="7" borderId="0" xfId="0" applyNumberForma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4" borderId="14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/>
    </xf>
    <xf numFmtId="2" fontId="0" fillId="2" borderId="2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5" fillId="7" borderId="2" xfId="0" applyFont="1" applyFill="1" applyBorder="1" applyAlignment="1">
      <alignment horizontal="center"/>
    </xf>
    <xf numFmtId="0" fontId="15" fillId="7" borderId="3" xfId="0" applyFont="1" applyFill="1" applyBorder="1" applyAlignment="1">
      <alignment horizontal="center"/>
    </xf>
    <xf numFmtId="0" fontId="15" fillId="7" borderId="4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center"/>
    </xf>
    <xf numFmtId="0" fontId="15" fillId="7" borderId="12" xfId="0" applyFont="1" applyFill="1" applyBorder="1" applyAlignment="1">
      <alignment horizontal="center"/>
    </xf>
    <xf numFmtId="0" fontId="15" fillId="7" borderId="5" xfId="0" applyFont="1" applyFill="1" applyBorder="1" applyAlignment="1">
      <alignment horizontal="center"/>
    </xf>
    <xf numFmtId="0" fontId="15" fillId="7" borderId="11" xfId="0" applyFont="1" applyFill="1" applyBorder="1" applyAlignment="1">
      <alignment horizontal="center"/>
    </xf>
    <xf numFmtId="0" fontId="15" fillId="7" borderId="13" xfId="0" applyFont="1" applyFill="1" applyBorder="1" applyAlignment="1">
      <alignment horizontal="center"/>
    </xf>
    <xf numFmtId="0" fontId="15" fillId="7" borderId="6" xfId="0" applyFont="1" applyFill="1" applyBorder="1" applyAlignment="1">
      <alignment horizontal="center"/>
    </xf>
    <xf numFmtId="0" fontId="15" fillId="7" borderId="9" xfId="0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17" fillId="23" borderId="1" xfId="0" applyFont="1" applyFill="1" applyBorder="1" applyAlignment="1">
      <alignment horizontal="center"/>
    </xf>
    <xf numFmtId="0" fontId="17" fillId="21" borderId="1" xfId="0" applyFont="1" applyFill="1" applyBorder="1" applyAlignment="1">
      <alignment horizontal="center"/>
    </xf>
    <xf numFmtId="0" fontId="17" fillId="11" borderId="1" xfId="0" applyFont="1" applyFill="1" applyBorder="1" applyAlignment="1">
      <alignment horizontal="center"/>
    </xf>
    <xf numFmtId="0" fontId="17" fillId="17" borderId="1" xfId="0" applyFont="1" applyFill="1" applyBorder="1" applyAlignment="1">
      <alignment horizontal="center"/>
    </xf>
    <xf numFmtId="0" fontId="17" fillId="13" borderId="1" xfId="0" applyFont="1" applyFill="1" applyBorder="1" applyAlignment="1">
      <alignment horizontal="center"/>
    </xf>
    <xf numFmtId="0" fontId="1" fillId="26" borderId="2" xfId="0" applyFont="1" applyFill="1" applyBorder="1" applyAlignment="1">
      <alignment horizontal="center"/>
    </xf>
    <xf numFmtId="0" fontId="1" fillId="26" borderId="3" xfId="0" applyFont="1" applyFill="1" applyBorder="1" applyAlignment="1">
      <alignment horizontal="center"/>
    </xf>
    <xf numFmtId="0" fontId="1" fillId="26" borderId="4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421821</xdr:colOff>
      <xdr:row>57</xdr:row>
      <xdr:rowOff>88773</xdr:rowOff>
    </xdr:from>
    <xdr:to>
      <xdr:col>19</xdr:col>
      <xdr:colOff>95249</xdr:colOff>
      <xdr:row>81</xdr:row>
      <xdr:rowOff>24493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2464" y="10947273"/>
          <a:ext cx="6517821" cy="4507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Progetto%20sismica%20--/progetto%20sismica%20prova%202/Spettri%20sortin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PIL-SPI-SPO-TRA%20statico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Progetto%20sismica%20--/progetto%20sismica%20prova%202/X%20Spettri%20sortino%20analisi%20static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Progetto%20sismica%20--/progetto%20sismica%20prova%202/YSpettri%20sortino%20analisi%20static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rigidezze%20excel/Rigidezza%20terrazza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Rigidezza%20terrazza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Progetto%20sismica%20--/progetto%20sismica%20prova%202/PIL-SPI-SPO-TRA%20moda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igidezze%20excel/Rigidezza%20piano%20tip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igidezze%20excel/Rigidezza%20piano%20terr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Rigidezza%20piano%20tipo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rigidezze%20excel/Rigidezza2%20terrazz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Rigidezza%20piano%20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Progetto%20sismica%20--/progetto%20sismica%20prova%202/rigidezze%20excel/Rigidezza%20piano%204-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Progetto%20sismica%20--/progetto%20sismica%20prova%202/X%20Spettri%20sortin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Progetto%20sismica%20--/progetto%20sismica%20prova%202/YSpettri%20sortin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spettri"/>
      <sheetName val="Se"/>
      <sheetName val="Sd"/>
      <sheetName val="T"/>
      <sheetName val="val x spettri"/>
      <sheetName val="SLO"/>
      <sheetName val="SLD"/>
      <sheetName val="SLV"/>
      <sheetName val="SLC"/>
      <sheetName val="suolo A"/>
      <sheetName val="suolo B"/>
      <sheetName val="suolo C"/>
      <sheetName val="suolo D"/>
      <sheetName val="suolo E"/>
      <sheetName val="Fig SLD"/>
      <sheetName val="Fig SLV"/>
    </sheetNames>
    <sheetDataSet>
      <sheetData sheetId="0">
        <row r="28">
          <cell r="D28">
            <v>9.6490242221710459E-2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"/>
      <sheetName val="SPI"/>
      <sheetName val="SPO tel"/>
      <sheetName val="TRA"/>
      <sheetName val="SPO"/>
      <sheetName val="Rig"/>
    </sheetNames>
    <sheetDataSet>
      <sheetData sheetId="0">
        <row r="2">
          <cell r="N2">
            <v>100.72799999999999</v>
          </cell>
          <cell r="O2">
            <v>73.55</v>
          </cell>
        </row>
        <row r="4">
          <cell r="N4">
            <v>48.368000000000002</v>
          </cell>
          <cell r="O4">
            <v>34.524999999999999</v>
          </cell>
        </row>
        <row r="6">
          <cell r="N6">
            <v>118.05800000000001</v>
          </cell>
          <cell r="O6">
            <v>100.60299999999999</v>
          </cell>
        </row>
        <row r="8">
          <cell r="N8">
            <v>74.58</v>
          </cell>
          <cell r="O8">
            <v>62.6</v>
          </cell>
        </row>
        <row r="10">
          <cell r="N10">
            <v>178.95400000000001</v>
          </cell>
          <cell r="O10">
            <v>151.12899999999999</v>
          </cell>
        </row>
        <row r="12">
          <cell r="N12">
            <v>105.803</v>
          </cell>
          <cell r="O12">
            <v>89.177999999999997</v>
          </cell>
        </row>
        <row r="14">
          <cell r="N14">
            <v>197.56399999999999</v>
          </cell>
          <cell r="O14">
            <v>175.46799999999999</v>
          </cell>
        </row>
        <row r="16">
          <cell r="N16">
            <v>120.17400000000001</v>
          </cell>
          <cell r="O16">
            <v>105.871</v>
          </cell>
        </row>
        <row r="18">
          <cell r="N18">
            <v>205.81700000000001</v>
          </cell>
          <cell r="O18">
            <v>193.101</v>
          </cell>
        </row>
        <row r="20">
          <cell r="N20">
            <v>132.74799999999999</v>
          </cell>
          <cell r="O20">
            <v>121.26</v>
          </cell>
        </row>
        <row r="22">
          <cell r="N22">
            <v>148.994</v>
          </cell>
          <cell r="O22">
            <v>174.68</v>
          </cell>
        </row>
        <row r="24">
          <cell r="N24">
            <v>111.581</v>
          </cell>
          <cell r="O24">
            <v>121.935</v>
          </cell>
        </row>
        <row r="26">
          <cell r="N26">
            <v>-263.85399999999998</v>
          </cell>
          <cell r="O26">
            <v>-276.47699999999998</v>
          </cell>
        </row>
      </sheetData>
      <sheetData sheetId="1">
        <row r="2">
          <cell r="P2">
            <v>19.08192</v>
          </cell>
        </row>
        <row r="3">
          <cell r="Q3">
            <v>16.60192</v>
          </cell>
        </row>
        <row r="5">
          <cell r="P5">
            <v>16.882080000000002</v>
          </cell>
        </row>
        <row r="6">
          <cell r="Q6">
            <v>14.91164</v>
          </cell>
        </row>
        <row r="8">
          <cell r="P8">
            <v>14.02538</v>
          </cell>
        </row>
        <row r="9">
          <cell r="Q9">
            <v>12.59572</v>
          </cell>
        </row>
        <row r="11">
          <cell r="P11">
            <v>10.709519999999999</v>
          </cell>
        </row>
        <row r="12">
          <cell r="Q12">
            <v>9.8398000000000003</v>
          </cell>
        </row>
        <row r="14">
          <cell r="P14">
            <v>7.3589200000000003</v>
          </cell>
        </row>
        <row r="15">
          <cell r="Q15">
            <v>6.6293600000000001</v>
          </cell>
        </row>
        <row r="17">
          <cell r="P17">
            <v>3.2662</v>
          </cell>
        </row>
        <row r="18">
          <cell r="Q18">
            <v>3.1844400000000004</v>
          </cell>
        </row>
      </sheetData>
      <sheetData sheetId="2"/>
      <sheetData sheetId="3">
        <row r="2">
          <cell r="N2">
            <v>56.472000000000001</v>
          </cell>
          <cell r="O2">
            <v>44.313000000000002</v>
          </cell>
        </row>
        <row r="3">
          <cell r="N3">
            <v>56.442999999999998</v>
          </cell>
          <cell r="O3">
            <v>44.128</v>
          </cell>
        </row>
        <row r="6">
          <cell r="N6">
            <v>91.567999999999998</v>
          </cell>
          <cell r="O6">
            <v>75.114000000000004</v>
          </cell>
        </row>
        <row r="7">
          <cell r="N7">
            <v>91.578000000000003</v>
          </cell>
          <cell r="O7">
            <v>75.244</v>
          </cell>
        </row>
        <row r="10">
          <cell r="N10">
            <v>156.989</v>
          </cell>
          <cell r="O10">
            <v>133.96700000000001</v>
          </cell>
        </row>
        <row r="11">
          <cell r="N11">
            <v>156.56299999999999</v>
          </cell>
          <cell r="O11">
            <v>132.99199999999999</v>
          </cell>
        </row>
        <row r="14">
          <cell r="N14">
            <v>196.102</v>
          </cell>
          <cell r="O14">
            <v>160.03899999999999</v>
          </cell>
        </row>
        <row r="15">
          <cell r="N15">
            <v>196.102</v>
          </cell>
          <cell r="O15">
            <v>164.19300000000001</v>
          </cell>
        </row>
        <row r="18">
          <cell r="N18">
            <v>235.047</v>
          </cell>
          <cell r="O18">
            <v>178.99</v>
          </cell>
        </row>
        <row r="19">
          <cell r="N19">
            <v>235.047</v>
          </cell>
          <cell r="O19">
            <v>193.09299999999999</v>
          </cell>
        </row>
        <row r="22">
          <cell r="N22">
            <v>242.773</v>
          </cell>
          <cell r="O22">
            <v>192.70099999999999</v>
          </cell>
        </row>
        <row r="23">
          <cell r="N23">
            <v>242.773</v>
          </cell>
          <cell r="O23">
            <v>211.94300000000001</v>
          </cell>
        </row>
      </sheetData>
      <sheetData sheetId="4"/>
      <sheetData sheetId="5">
        <row r="2">
          <cell r="K2">
            <v>15.859000000000002</v>
          </cell>
        </row>
        <row r="3">
          <cell r="K3">
            <v>28.548999999999999</v>
          </cell>
        </row>
        <row r="4">
          <cell r="K4">
            <v>34.53</v>
          </cell>
        </row>
        <row r="5">
          <cell r="K5">
            <v>39.022999999999996</v>
          </cell>
        </row>
        <row r="6">
          <cell r="K6">
            <v>44.23</v>
          </cell>
        </row>
        <row r="7">
          <cell r="K7">
            <v>62.42</v>
          </cell>
        </row>
        <row r="8">
          <cell r="K8">
            <v>59.103000000000002</v>
          </cell>
        </row>
        <row r="9">
          <cell r="K9">
            <v>77.055999999999997</v>
          </cell>
        </row>
        <row r="10">
          <cell r="K10">
            <v>93.207999999999998</v>
          </cell>
        </row>
        <row r="11">
          <cell r="K11">
            <v>96.114999999999995</v>
          </cell>
        </row>
        <row r="12">
          <cell r="K12">
            <v>102.991</v>
          </cell>
        </row>
        <row r="13">
          <cell r="K13">
            <v>124.18600000000001</v>
          </cell>
        </row>
        <row r="14">
          <cell r="K14">
            <v>9.1009999999999991</v>
          </cell>
        </row>
        <row r="15">
          <cell r="K15">
            <v>8.4039999999999999</v>
          </cell>
        </row>
        <row r="16">
          <cell r="K16">
            <v>8.07</v>
          </cell>
        </row>
        <row r="17">
          <cell r="K17">
            <v>8.661999999999999</v>
          </cell>
        </row>
        <row r="18">
          <cell r="K18">
            <v>8.8789999999999996</v>
          </cell>
        </row>
        <row r="19">
          <cell r="K19">
            <v>14.283000000000001</v>
          </cell>
        </row>
        <row r="20">
          <cell r="K20">
            <v>20.738</v>
          </cell>
        </row>
        <row r="21">
          <cell r="K21">
            <v>26.31</v>
          </cell>
        </row>
        <row r="22">
          <cell r="K22">
            <v>29.32</v>
          </cell>
        </row>
        <row r="23">
          <cell r="K23">
            <v>31.486000000000001</v>
          </cell>
        </row>
        <row r="24">
          <cell r="K24">
            <v>33.26</v>
          </cell>
        </row>
        <row r="25">
          <cell r="K25">
            <v>44.363</v>
          </cell>
        </row>
        <row r="26">
          <cell r="K26">
            <v>24.682000000000002</v>
          </cell>
        </row>
        <row r="27">
          <cell r="K27">
            <v>25.143999999999998</v>
          </cell>
        </row>
        <row r="28">
          <cell r="K28">
            <v>26.946999999999996</v>
          </cell>
        </row>
        <row r="29">
          <cell r="K29">
            <v>28.018999999999998</v>
          </cell>
        </row>
        <row r="30">
          <cell r="K30">
            <v>29.292000000000002</v>
          </cell>
        </row>
        <row r="31">
          <cell r="K31">
            <v>30.767999999999997</v>
          </cell>
        </row>
        <row r="32">
          <cell r="K32">
            <v>9.51</v>
          </cell>
        </row>
        <row r="33">
          <cell r="K33">
            <v>23.771999999999998</v>
          </cell>
        </row>
        <row r="34">
          <cell r="K34">
            <v>30.122</v>
          </cell>
        </row>
        <row r="35">
          <cell r="K35">
            <v>34.673999999999999</v>
          </cell>
        </row>
        <row r="36">
          <cell r="K36">
            <v>40.206000000000003</v>
          </cell>
        </row>
        <row r="37">
          <cell r="K37">
            <v>56.847999999999999</v>
          </cell>
        </row>
        <row r="38">
          <cell r="K38">
            <v>19.414999999999999</v>
          </cell>
        </row>
        <row r="39">
          <cell r="K39">
            <v>28.398999999999997</v>
          </cell>
        </row>
        <row r="40">
          <cell r="K40">
            <v>33.811999999999998</v>
          </cell>
        </row>
        <row r="41">
          <cell r="K41">
            <v>36.231999999999999</v>
          </cell>
        </row>
        <row r="42">
          <cell r="K42">
            <v>39.466000000000001</v>
          </cell>
        </row>
        <row r="43">
          <cell r="K43">
            <v>57.129999999999995</v>
          </cell>
        </row>
        <row r="44">
          <cell r="K44">
            <v>18.668000000000003</v>
          </cell>
        </row>
        <row r="45">
          <cell r="K45">
            <v>28.313000000000002</v>
          </cell>
        </row>
        <row r="46">
          <cell r="K46">
            <v>33.944000000000003</v>
          </cell>
        </row>
        <row r="47">
          <cell r="K47">
            <v>36.683999999999997</v>
          </cell>
        </row>
        <row r="48">
          <cell r="K48">
            <v>40.335000000000001</v>
          </cell>
        </row>
        <row r="49">
          <cell r="K49">
            <v>57.674999999999997</v>
          </cell>
        </row>
        <row r="50">
          <cell r="K50">
            <v>29.404</v>
          </cell>
        </row>
        <row r="51">
          <cell r="K51">
            <v>38.576000000000001</v>
          </cell>
        </row>
        <row r="52">
          <cell r="K52">
            <v>45.087999999999994</v>
          </cell>
        </row>
        <row r="53">
          <cell r="K53">
            <v>46.797999999999995</v>
          </cell>
        </row>
        <row r="54">
          <cell r="K54">
            <v>49.008000000000003</v>
          </cell>
        </row>
        <row r="55">
          <cell r="K55">
            <v>52.420999999999992</v>
          </cell>
        </row>
        <row r="56">
          <cell r="K56">
            <v>35.085000000000001</v>
          </cell>
        </row>
        <row r="57">
          <cell r="K57">
            <v>43.788000000000004</v>
          </cell>
        </row>
        <row r="58">
          <cell r="K58">
            <v>49.637</v>
          </cell>
        </row>
        <row r="59">
          <cell r="K59">
            <v>51.546999999999997</v>
          </cell>
        </row>
        <row r="60">
          <cell r="K60">
            <v>53.425999999999995</v>
          </cell>
        </row>
        <row r="61">
          <cell r="K61">
            <v>58.315000000000005</v>
          </cell>
        </row>
        <row r="62">
          <cell r="K62">
            <v>55.264000000000003</v>
          </cell>
        </row>
        <row r="63">
          <cell r="K63">
            <v>76.698000000000008</v>
          </cell>
        </row>
        <row r="64">
          <cell r="K64">
            <v>90.075999999999993</v>
          </cell>
        </row>
        <row r="65">
          <cell r="K65">
            <v>93.825999999999993</v>
          </cell>
        </row>
        <row r="66">
          <cell r="K66">
            <v>98.024000000000001</v>
          </cell>
        </row>
        <row r="67">
          <cell r="K67">
            <v>114.931</v>
          </cell>
        </row>
        <row r="68">
          <cell r="K68">
            <v>29.08</v>
          </cell>
        </row>
        <row r="69">
          <cell r="K69">
            <v>35.635000000000005</v>
          </cell>
        </row>
        <row r="70">
          <cell r="K70">
            <v>38.448999999999998</v>
          </cell>
        </row>
        <row r="71">
          <cell r="K71">
            <v>40.054000000000002</v>
          </cell>
        </row>
        <row r="73">
          <cell r="K73">
            <v>49.222999999999999</v>
          </cell>
        </row>
        <row r="74">
          <cell r="K74">
            <v>36.707000000000001</v>
          </cell>
        </row>
        <row r="75">
          <cell r="K75">
            <v>48.567999999999998</v>
          </cell>
        </row>
        <row r="76">
          <cell r="K76">
            <v>55.055999999999997</v>
          </cell>
        </row>
        <row r="77">
          <cell r="K77">
            <v>57.125</v>
          </cell>
        </row>
        <row r="78">
          <cell r="K78">
            <v>57.906999999999996</v>
          </cell>
        </row>
        <row r="79">
          <cell r="K79">
            <v>75.915999999999997</v>
          </cell>
        </row>
        <row r="80">
          <cell r="K80">
            <v>49.882999999999996</v>
          </cell>
        </row>
        <row r="81">
          <cell r="K81">
            <v>64.641000000000005</v>
          </cell>
        </row>
        <row r="82">
          <cell r="K82">
            <v>75.203000000000003</v>
          </cell>
        </row>
        <row r="83">
          <cell r="K83">
            <v>77.37</v>
          </cell>
        </row>
        <row r="84">
          <cell r="K84">
            <v>80.435000000000002</v>
          </cell>
        </row>
        <row r="85">
          <cell r="K85">
            <v>88.488</v>
          </cell>
        </row>
        <row r="86">
          <cell r="K86">
            <v>50.628</v>
          </cell>
        </row>
        <row r="87">
          <cell r="K87">
            <v>65.256999999999991</v>
          </cell>
        </row>
        <row r="88">
          <cell r="K88">
            <v>75.736999999999995</v>
          </cell>
        </row>
        <row r="89">
          <cell r="K89">
            <v>77.797000000000011</v>
          </cell>
        </row>
        <row r="90">
          <cell r="K90">
            <v>80.804000000000002</v>
          </cell>
        </row>
        <row r="91">
          <cell r="K91">
            <v>88.581999999999994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spettri"/>
      <sheetName val="Se"/>
      <sheetName val="Sd"/>
      <sheetName val="T"/>
      <sheetName val="val x spettri"/>
      <sheetName val="SLO"/>
      <sheetName val="SLD"/>
      <sheetName val="SLV"/>
      <sheetName val="SLC"/>
      <sheetName val="suolo A"/>
      <sheetName val="suolo B"/>
      <sheetName val="suolo C"/>
      <sheetName val="suolo D"/>
      <sheetName val="suolo E"/>
      <sheetName val="Fig SLD"/>
      <sheetName val="Fig SLV"/>
    </sheetNames>
    <sheetDataSet>
      <sheetData sheetId="0">
        <row r="28">
          <cell r="D28">
            <v>8.3347391535355614E-2</v>
          </cell>
        </row>
      </sheetData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spettri"/>
      <sheetName val="Se"/>
      <sheetName val="Sd"/>
      <sheetName val="T"/>
      <sheetName val="val x spettri"/>
      <sheetName val="SLO"/>
      <sheetName val="SLD"/>
      <sheetName val="SLV"/>
      <sheetName val="SLC"/>
      <sheetName val="suolo A"/>
      <sheetName val="suolo B"/>
      <sheetName val="suolo C"/>
      <sheetName val="suolo D"/>
      <sheetName val="suolo E"/>
      <sheetName val="Fig SLD"/>
      <sheetName val="Fig SLV"/>
    </sheetNames>
    <sheetDataSet>
      <sheetData sheetId="0">
        <row r="28">
          <cell r="D28">
            <v>9.4765235143950535E-2</v>
          </cell>
        </row>
      </sheetData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 terr 30x70 2 tr emerg"/>
      <sheetName val="x terr 30x70 1 tr emer"/>
      <sheetName val="x terr 70x30 1 tr emerg"/>
      <sheetName val=" x terr 70x30 2 spess"/>
      <sheetName val="x terr 80x30 1 spess"/>
      <sheetName val="y 30x70 2 tr emerg"/>
      <sheetName val="y 30x70 1 tr emerg"/>
      <sheetName val="y 70x30 2 tr emerg"/>
      <sheetName val="y 70x30 1 tr emerg"/>
      <sheetName val="y 70x30 1 tr spess"/>
    </sheetNames>
    <sheetDataSet>
      <sheetData sheetId="0">
        <row r="5">
          <cell r="L5">
            <v>27.840626350609174</v>
          </cell>
        </row>
      </sheetData>
      <sheetData sheetId="1">
        <row r="5">
          <cell r="L5">
            <v>16.473449534700904</v>
          </cell>
        </row>
      </sheetData>
      <sheetData sheetId="2">
        <row r="5">
          <cell r="L5">
            <v>9.2574354999936475</v>
          </cell>
        </row>
      </sheetData>
      <sheetData sheetId="3">
        <row r="5">
          <cell r="L5">
            <v>4.6828306317133421</v>
          </cell>
        </row>
      </sheetData>
      <sheetData sheetId="4">
        <row r="5">
          <cell r="L5">
            <v>2.733353250958968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 terr 30x80 2 tr emerg"/>
      <sheetName val="x terr 30x80 1 tr emer"/>
      <sheetName val="x terr 80x30 1 tr emerg"/>
      <sheetName val=" x terr 80x30 2 spess"/>
      <sheetName val="x terr 80x30 1 spess"/>
      <sheetName val="y 30x80 2 tr emerg"/>
      <sheetName val="y 30x80 1 tr emerg"/>
      <sheetName val="y 80x30 2 tr emerg"/>
      <sheetName val="y 80x30 1 tr emerg"/>
      <sheetName val="y 80x30 1 tr spe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L5">
            <v>26.686621143608484</v>
          </cell>
        </row>
      </sheetData>
      <sheetData sheetId="6" refreshError="1">
        <row r="5">
          <cell r="L5">
            <v>15.685016670348791</v>
          </cell>
        </row>
      </sheetData>
      <sheetData sheetId="7" refreshError="1">
        <row r="5">
          <cell r="L5">
            <v>11.977099944989302</v>
          </cell>
        </row>
      </sheetData>
      <sheetData sheetId="8" refreshError="1">
        <row r="5">
          <cell r="L5">
            <v>8.9899269792572607</v>
          </cell>
        </row>
      </sheetData>
      <sheetData sheetId="9" refreshError="1">
        <row r="5">
          <cell r="L5">
            <v>3.7529573581146227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"/>
      <sheetName val="spi"/>
      <sheetName val="spotel"/>
      <sheetName val="tra"/>
      <sheetName val="spo"/>
      <sheetName val="spost x"/>
      <sheetName val="spost y"/>
      <sheetName val="Foglio1"/>
      <sheetName val="INVILUPPO TRAVI"/>
      <sheetName val="trave 8-11"/>
      <sheetName val="TABELLA PIL"/>
      <sheetName val="INVILUPPO PIL"/>
      <sheetName val="no rotaz tab pil"/>
      <sheetName val="no rot inv pil"/>
      <sheetName val="pil8"/>
      <sheetName val="pil9"/>
      <sheetName val="pil10"/>
      <sheetName val="pil11"/>
      <sheetName val="Foglio2"/>
      <sheetName val="pil 2"/>
      <sheetName val="trave 2-10"/>
      <sheetName val="pil 6"/>
      <sheetName val="pil 10 sp"/>
      <sheetName val="verifiche"/>
      <sheetName val="Foglio4"/>
      <sheetName val="30x70"/>
      <sheetName val="70x30"/>
    </sheetNames>
    <sheetDataSet>
      <sheetData sheetId="0">
        <row r="2">
          <cell r="P2">
            <v>109.304</v>
          </cell>
          <cell r="Q2">
            <v>83.77</v>
          </cell>
        </row>
        <row r="4">
          <cell r="P4">
            <v>53.476999999999997</v>
          </cell>
          <cell r="Q4">
            <v>40.15</v>
          </cell>
        </row>
        <row r="6">
          <cell r="P6">
            <v>124.261</v>
          </cell>
          <cell r="Q6">
            <v>112.01</v>
          </cell>
        </row>
        <row r="8">
          <cell r="P8">
            <v>79.218999999999994</v>
          </cell>
          <cell r="Q8">
            <v>69.945999999999998</v>
          </cell>
        </row>
        <row r="10">
          <cell r="P10">
            <v>185.80600000000001</v>
          </cell>
          <cell r="Q10">
            <v>168.05600000000001</v>
          </cell>
        </row>
        <row r="12">
          <cell r="P12">
            <v>110.143</v>
          </cell>
          <cell r="Q12">
            <v>99.049000000000007</v>
          </cell>
        </row>
        <row r="14">
          <cell r="P14">
            <v>205.018</v>
          </cell>
          <cell r="Q14">
            <v>196.85300000000001</v>
          </cell>
        </row>
        <row r="16">
          <cell r="P16">
            <v>124.54300000000001</v>
          </cell>
          <cell r="Q16">
            <v>118.404</v>
          </cell>
        </row>
        <row r="18">
          <cell r="P18">
            <v>214.93799999999999</v>
          </cell>
          <cell r="Q18">
            <v>218.80799999999999</v>
          </cell>
        </row>
        <row r="20">
          <cell r="P20">
            <v>138.17599999999999</v>
          </cell>
          <cell r="Q20">
            <v>136.89699999999999</v>
          </cell>
        </row>
        <row r="22">
          <cell r="P22">
            <v>156.40100000000001</v>
          </cell>
          <cell r="Q22">
            <v>199.495</v>
          </cell>
        </row>
        <row r="24">
          <cell r="P24">
            <v>116.508</v>
          </cell>
          <cell r="Q24">
            <v>138.727</v>
          </cell>
        </row>
        <row r="26">
          <cell r="P26">
            <v>-274.99099999999999</v>
          </cell>
          <cell r="Q26">
            <v>-313.87099999999998</v>
          </cell>
        </row>
      </sheetData>
      <sheetData sheetId="1"/>
      <sheetData sheetId="2"/>
      <sheetData sheetId="3">
        <row r="2">
          <cell r="P2">
            <v>60.393999999999998</v>
          </cell>
          <cell r="Q2">
            <v>49.710999999999999</v>
          </cell>
        </row>
        <row r="3">
          <cell r="P3">
            <v>60.368000000000002</v>
          </cell>
          <cell r="Q3">
            <v>49.462000000000003</v>
          </cell>
        </row>
        <row r="6">
          <cell r="P6">
            <v>96.897000000000006</v>
          </cell>
          <cell r="Q6">
            <v>83.534000000000006</v>
          </cell>
        </row>
        <row r="7">
          <cell r="P7">
            <v>96.91</v>
          </cell>
          <cell r="Q7">
            <v>83.668999999999997</v>
          </cell>
        </row>
        <row r="10">
          <cell r="P10">
            <v>171.23099999999999</v>
          </cell>
          <cell r="Q10">
            <v>147.92699999999999</v>
          </cell>
        </row>
        <row r="11">
          <cell r="P11">
            <v>172.61799999999999</v>
          </cell>
          <cell r="Q11">
            <v>146.83600000000001</v>
          </cell>
        </row>
        <row r="14">
          <cell r="P14">
            <v>212.45599999999999</v>
          </cell>
          <cell r="Q14">
            <v>177.333</v>
          </cell>
        </row>
        <row r="15">
          <cell r="P15">
            <v>212.45599999999999</v>
          </cell>
          <cell r="Q15">
            <v>182.34700000000001</v>
          </cell>
        </row>
        <row r="18">
          <cell r="P18">
            <v>255.56800000000001</v>
          </cell>
          <cell r="Q18">
            <v>200.65700000000001</v>
          </cell>
        </row>
        <row r="19">
          <cell r="P19">
            <v>255.56800000000001</v>
          </cell>
          <cell r="Q19">
            <v>216.43899999999999</v>
          </cell>
        </row>
        <row r="22">
          <cell r="P22">
            <v>266.339</v>
          </cell>
          <cell r="Q22">
            <v>217.964</v>
          </cell>
        </row>
        <row r="23">
          <cell r="P23">
            <v>266.339</v>
          </cell>
          <cell r="Q23">
            <v>239.71299999999999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 p.tipo30x70 2 tr emerg"/>
      <sheetName val="x p.tipo30x70 1 tr emer"/>
      <sheetName val="x p.tipo 70x30 1 tr emerg"/>
      <sheetName val=" x p.tipo 70x30 2 spess"/>
      <sheetName val="x p.tipo 70x30 1 spess"/>
      <sheetName val="y 30x80 2 tr emerg"/>
      <sheetName val="y 30x70 1 tr emerg"/>
      <sheetName val="y 70x30 2 tr emerg"/>
      <sheetName val="y 70x30 1 tr emerg"/>
      <sheetName val="y 70x30 1 tr spess"/>
    </sheetNames>
    <sheetDataSet>
      <sheetData sheetId="0">
        <row r="5">
          <cell r="L5">
            <v>32.124220207247788</v>
          </cell>
        </row>
      </sheetData>
      <sheetData sheetId="1">
        <row r="5">
          <cell r="L5">
            <v>19.175840563420966</v>
          </cell>
        </row>
      </sheetData>
      <sheetData sheetId="2">
        <row r="5">
          <cell r="L5">
            <v>10.300838347113535</v>
          </cell>
        </row>
      </sheetData>
      <sheetData sheetId="3">
        <row r="5">
          <cell r="L5">
            <v>3.5852091840472422</v>
          </cell>
        </row>
      </sheetData>
      <sheetData sheetId="4">
        <row r="5">
          <cell r="L5">
            <v>1.9888322574175896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 p.terra30x70 2 tr emerg"/>
      <sheetName val="x p.terra30x70 1 tr emer"/>
      <sheetName val="x p.tipo 70x30 1 tr emerg"/>
      <sheetName val=" x p.tipo 70x30 2 spess"/>
      <sheetName val="x p.tipo 70x30 1 spess"/>
      <sheetName val="y 30x70 2 tr emerg"/>
      <sheetName val="y 30x70 1 tr emerg"/>
      <sheetName val="y 70x30 2 tr emerg"/>
      <sheetName val="y 70x30 1 tr emerg"/>
      <sheetName val="y 70x30 1 tr spess"/>
    </sheetNames>
    <sheetDataSet>
      <sheetData sheetId="0">
        <row r="5">
          <cell r="L5">
            <v>37.824529120484691</v>
          </cell>
        </row>
      </sheetData>
      <sheetData sheetId="1">
        <row r="5">
          <cell r="L5">
            <v>30.123174952428801</v>
          </cell>
        </row>
      </sheetData>
      <sheetData sheetId="2">
        <row r="5">
          <cell r="L5">
            <v>9.0583298961183534</v>
          </cell>
        </row>
      </sheetData>
      <sheetData sheetId="3">
        <row r="5">
          <cell r="L5">
            <v>5.5734360701465597</v>
          </cell>
        </row>
      </sheetData>
      <sheetData sheetId="4">
        <row r="5">
          <cell r="L5">
            <v>4.4874313177713931</v>
          </cell>
        </row>
      </sheetData>
      <sheetData sheetId="5">
        <row r="5">
          <cell r="L5">
            <v>37.110254290115428</v>
          </cell>
        </row>
      </sheetData>
      <sheetData sheetId="6">
        <row r="5">
          <cell r="L5">
            <v>29.530584436482165</v>
          </cell>
        </row>
      </sheetData>
      <sheetData sheetId="7">
        <row r="5">
          <cell r="L5">
            <v>10.08272882530783</v>
          </cell>
        </row>
      </sheetData>
      <sheetData sheetId="8">
        <row r="5">
          <cell r="L5">
            <v>8.9443829065549689</v>
          </cell>
        </row>
      </sheetData>
      <sheetData sheetId="9">
        <row r="5">
          <cell r="L5">
            <v>5.0596785086392035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 p.tipo30x80 2 tr emerg"/>
      <sheetName val="x p.tipo30x80 1 tr emer"/>
      <sheetName val="x p.tipo 80x30 1 tr emerg"/>
      <sheetName val=" x p.tipo 80x30 2 spess"/>
      <sheetName val="x p.tipo 80x30 1 spess"/>
      <sheetName val="y 30x80 2 tr emerg"/>
      <sheetName val="y 30x80 1 tr emerg"/>
      <sheetName val="y 80x30 2 tr emerg"/>
      <sheetName val="y 80x30 1 tr emerg"/>
      <sheetName val="y 80x30 1 tr spe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L5">
            <v>30.832326920475296</v>
          </cell>
        </row>
      </sheetData>
      <sheetData sheetId="6" refreshError="1">
        <row r="5">
          <cell r="L5">
            <v>18.262300425358582</v>
          </cell>
        </row>
      </sheetData>
      <sheetData sheetId="7" refreshError="1">
        <row r="5">
          <cell r="L5">
            <v>12.925906090782766</v>
          </cell>
        </row>
      </sheetData>
      <sheetData sheetId="8" refreshError="1">
        <row r="5">
          <cell r="L5">
            <v>10.031283698777857</v>
          </cell>
        </row>
      </sheetData>
      <sheetData sheetId="9" refreshError="1">
        <row r="5">
          <cell r="L5">
            <v>2.8068958138180466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 terr 2 tr emerg 30x70"/>
      <sheetName val="x terr 1 tr emerg 30x70"/>
      <sheetName val="70x30 1 trav emerg x terr"/>
      <sheetName val="x terr 70x30 2 sp"/>
      <sheetName val="x 70x30 1 sp"/>
      <sheetName val=" y 30x70 2 tr emetg"/>
      <sheetName val="y 30x70 1 tr emerg"/>
      <sheetName val="y 70x30 2 tr emerg"/>
      <sheetName val="y 70x 30 1 tr emergente"/>
      <sheetName val="y 70x30 1 sp"/>
    </sheetNames>
    <sheetDataSet>
      <sheetData sheetId="0">
        <row r="5">
          <cell r="L5">
            <v>21.53707100714005</v>
          </cell>
        </row>
      </sheetData>
      <sheetData sheetId="1">
        <row r="5">
          <cell r="L5">
            <v>12.084041590728967</v>
          </cell>
        </row>
      </sheetData>
      <sheetData sheetId="2">
        <row r="5">
          <cell r="L5">
            <v>7.8318167712217353</v>
          </cell>
        </row>
      </sheetData>
      <sheetData sheetId="3">
        <row r="5">
          <cell r="L5">
            <v>3.5852091840472422</v>
          </cell>
        </row>
      </sheetData>
      <sheetData sheetId="4">
        <row r="5">
          <cell r="L5">
            <v>1.9888322574175896</v>
          </cell>
        </row>
      </sheetData>
      <sheetData sheetId="5">
        <row r="5">
          <cell r="L5">
            <v>20.540016477892124</v>
          </cell>
        </row>
      </sheetData>
      <sheetData sheetId="6">
        <row r="5">
          <cell r="L5">
            <v>11.459802688385174</v>
          </cell>
        </row>
      </sheetData>
      <sheetData sheetId="7">
        <row r="5">
          <cell r="L5">
            <v>10.681937318567646</v>
          </cell>
        </row>
      </sheetData>
      <sheetData sheetId="8">
        <row r="5">
          <cell r="L5">
            <v>7.5647507595373149</v>
          </cell>
        </row>
      </sheetData>
      <sheetData sheetId="9">
        <row r="5">
          <cell r="L5">
            <v>2.8068958138180466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 p.4 30x80 2 tr emerg"/>
      <sheetName val="x p.4 30x80 1 tr emer"/>
      <sheetName val="x p.4 80x30 1 tr emerg"/>
      <sheetName val=" x p.4 80x30 2 spess"/>
      <sheetName val="x p.4 80x30 1 spess"/>
      <sheetName val="y 30x80 2 tr emerg"/>
      <sheetName val="y 30x80 1 tr emerg"/>
      <sheetName val="y 80x30 2 tr emerg"/>
      <sheetName val="y 80x30 1 tr emerg"/>
      <sheetName val="y 80x30 1 tr spess"/>
    </sheetNames>
    <sheetDataSet>
      <sheetData sheetId="0" refreshError="1">
        <row r="5">
          <cell r="L5">
            <v>26.46333620453073</v>
          </cell>
        </row>
      </sheetData>
      <sheetData sheetId="1" refreshError="1"/>
      <sheetData sheetId="2" refreshError="1">
        <row r="5">
          <cell r="L5">
            <v>8.982362682716424</v>
          </cell>
        </row>
      </sheetData>
      <sheetData sheetId="3" refreshError="1">
        <row r="5">
          <cell r="L5">
            <v>3.5852091840472422</v>
          </cell>
        </row>
      </sheetData>
      <sheetData sheetId="4" refreshError="1">
        <row r="5">
          <cell r="L5">
            <v>1.9888322574175896</v>
          </cell>
        </row>
      </sheetData>
      <sheetData sheetId="5" refreshError="1">
        <row r="5">
          <cell r="L5">
            <v>25.333748699753201</v>
          </cell>
        </row>
      </sheetData>
      <sheetData sheetId="6" refreshError="1">
        <row r="5">
          <cell r="L5">
            <v>14.681193488833213</v>
          </cell>
        </row>
      </sheetData>
      <sheetData sheetId="7" refreshError="1">
        <row r="5">
          <cell r="L5">
            <v>11.743655791615245</v>
          </cell>
        </row>
      </sheetData>
      <sheetData sheetId="8" refreshError="1">
        <row r="5">
          <cell r="L5">
            <v>8.7129642430861924</v>
          </cell>
        </row>
      </sheetData>
      <sheetData sheetId="9" refreshError="1">
        <row r="5">
          <cell r="L5">
            <v>7.4734857469728491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 p.4 30x70 2 tr emerg"/>
      <sheetName val="x p.4 30x70 1 tr emer"/>
      <sheetName val="x p.4 70x30 1 tr emerg"/>
      <sheetName val=" x p.4 70x30 2 spess"/>
      <sheetName val="x p.4 70x30 1 spess"/>
      <sheetName val="y 30x70 2 tr emerg"/>
      <sheetName val="y 30x70 1 tr emerg"/>
      <sheetName val="y 70x30 2 tr emerg"/>
      <sheetName val="y 70x30 1 tr emerg"/>
      <sheetName val="y 70x30 1 tr spess"/>
    </sheetNames>
    <sheetDataSet>
      <sheetData sheetId="0" refreshError="1"/>
      <sheetData sheetId="1" refreshError="1">
        <row r="5">
          <cell r="L5">
            <v>15.436768653433358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spettri"/>
      <sheetName val="Se"/>
      <sheetName val="Sd"/>
      <sheetName val="T"/>
      <sheetName val="val x spettri"/>
      <sheetName val="SLO"/>
      <sheetName val="SLD"/>
      <sheetName val="SLV"/>
      <sheetName val="SLC"/>
      <sheetName val="suolo A"/>
      <sheetName val="suolo B"/>
      <sheetName val="suolo C"/>
      <sheetName val="suolo D"/>
      <sheetName val="suolo E"/>
      <sheetName val="Fig SLD"/>
      <sheetName val="Fig SLV"/>
    </sheetNames>
    <sheetDataSet>
      <sheetData sheetId="0">
        <row r="28">
          <cell r="D28">
            <v>8.5191911065204684E-2</v>
          </cell>
        </row>
      </sheetData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spettri"/>
      <sheetName val="Se"/>
      <sheetName val="Sd"/>
      <sheetName val="T"/>
      <sheetName val="val x spettri"/>
      <sheetName val="SLO"/>
      <sheetName val="SLD"/>
      <sheetName val="SLV"/>
      <sheetName val="SLC"/>
      <sheetName val="suolo A"/>
      <sheetName val="suolo B"/>
      <sheetName val="suolo C"/>
      <sheetName val="suolo D"/>
      <sheetName val="suolo E"/>
      <sheetName val="Fig SLD"/>
      <sheetName val="Fig SLV"/>
    </sheetNames>
    <sheetDataSet>
      <sheetData sheetId="0">
        <row r="28">
          <cell r="D28">
            <v>9.7790455348262806E-2</v>
          </cell>
        </row>
      </sheetData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94"/>
  <sheetViews>
    <sheetView topLeftCell="O40" zoomScale="80" zoomScaleNormal="80" workbookViewId="0">
      <selection activeCell="D94" sqref="D94"/>
    </sheetView>
  </sheetViews>
  <sheetFormatPr defaultRowHeight="15" x14ac:dyDescent="0.25"/>
  <cols>
    <col min="1" max="1" width="14.85546875" customWidth="1"/>
    <col min="2" max="2" width="16" customWidth="1"/>
    <col min="3" max="3" width="20" customWidth="1"/>
    <col min="4" max="4" width="14.5703125" customWidth="1"/>
    <col min="5" max="5" width="17.140625" customWidth="1"/>
    <col min="6" max="6" width="12.42578125" customWidth="1"/>
    <col min="7" max="7" width="18" customWidth="1"/>
    <col min="8" max="8" width="19.7109375" customWidth="1"/>
    <col min="9" max="9" width="16.7109375" customWidth="1"/>
    <col min="10" max="10" width="19.140625" customWidth="1"/>
    <col min="11" max="11" width="22.7109375" customWidth="1"/>
    <col min="12" max="12" width="12.7109375" customWidth="1"/>
    <col min="13" max="13" width="17.28515625" customWidth="1"/>
    <col min="14" max="14" width="20.7109375" customWidth="1"/>
    <col min="15" max="15" width="19.42578125" customWidth="1"/>
    <col min="16" max="16" width="23.85546875" customWidth="1"/>
    <col min="17" max="17" width="14.85546875" customWidth="1"/>
    <col min="18" max="18" width="7.5703125" customWidth="1"/>
    <col min="19" max="19" width="9.140625" customWidth="1"/>
    <col min="20" max="20" width="14.85546875" customWidth="1"/>
    <col min="21" max="21" width="17.7109375" customWidth="1"/>
    <col min="22" max="22" width="9.140625" customWidth="1"/>
    <col min="23" max="23" width="16.85546875" customWidth="1"/>
    <col min="24" max="24" width="22.5703125" customWidth="1"/>
    <col min="25" max="25" width="16.140625" customWidth="1"/>
    <col min="26" max="26" width="12.5703125" customWidth="1"/>
    <col min="27" max="27" width="14" customWidth="1"/>
    <col min="28" max="29" width="14.85546875" customWidth="1"/>
    <col min="30" max="30" width="11.28515625" customWidth="1"/>
    <col min="31" max="31" width="19.28515625" customWidth="1"/>
    <col min="32" max="32" width="38.85546875" customWidth="1"/>
  </cols>
  <sheetData>
    <row r="1" spans="1:32" x14ac:dyDescent="0.25">
      <c r="A1" s="1" t="s">
        <v>1</v>
      </c>
      <c r="B1" s="1">
        <f>4.68</f>
        <v>4.68</v>
      </c>
      <c r="D1" s="437" t="s">
        <v>185</v>
      </c>
      <c r="E1" s="437"/>
      <c r="F1" s="437"/>
      <c r="G1" s="437"/>
      <c r="H1" s="437"/>
      <c r="I1" s="437"/>
      <c r="J1" s="437"/>
      <c r="K1" s="437"/>
      <c r="M1" s="437" t="s">
        <v>23</v>
      </c>
      <c r="N1" s="437"/>
      <c r="O1" s="437"/>
      <c r="P1" s="437"/>
      <c r="Q1" s="437"/>
      <c r="R1" s="437"/>
      <c r="S1" s="437"/>
      <c r="T1" s="437"/>
      <c r="U1" s="437"/>
      <c r="V1" s="437"/>
      <c r="W1" s="437"/>
      <c r="Y1" s="437" t="s">
        <v>39</v>
      </c>
      <c r="Z1" s="437"/>
      <c r="AA1" s="437"/>
      <c r="AB1" s="437"/>
      <c r="AC1" s="437"/>
      <c r="AD1" s="437"/>
      <c r="AE1" s="437"/>
      <c r="AF1" s="437"/>
    </row>
    <row r="2" spans="1:32" x14ac:dyDescent="0.25">
      <c r="A2" s="1" t="s">
        <v>0</v>
      </c>
      <c r="B2" s="2">
        <f>$B$1/25</f>
        <v>0.18719999999999998</v>
      </c>
      <c r="D2" s="423" t="s">
        <v>186</v>
      </c>
      <c r="E2" s="423"/>
      <c r="F2" s="423"/>
      <c r="G2" s="423"/>
      <c r="H2" s="423"/>
      <c r="I2" s="423"/>
      <c r="J2" s="423"/>
      <c r="K2" s="423"/>
      <c r="M2" s="455" t="s">
        <v>24</v>
      </c>
      <c r="N2" s="455"/>
      <c r="O2" s="455" t="s">
        <v>25</v>
      </c>
      <c r="P2" s="455"/>
      <c r="Q2" s="471" t="s">
        <v>11</v>
      </c>
      <c r="R2" s="471"/>
      <c r="S2" s="471" t="s">
        <v>27</v>
      </c>
      <c r="T2" s="471"/>
      <c r="U2" s="471" t="s">
        <v>5</v>
      </c>
      <c r="V2" s="471"/>
      <c r="W2" s="471"/>
      <c r="Y2" s="423" t="s">
        <v>2</v>
      </c>
      <c r="Z2" s="423"/>
      <c r="AA2" s="423"/>
      <c r="AB2" s="423"/>
      <c r="AC2" s="423"/>
      <c r="AD2" s="423"/>
      <c r="AE2" s="423"/>
      <c r="AF2" s="423"/>
    </row>
    <row r="3" spans="1:32" x14ac:dyDescent="0.25">
      <c r="D3" s="455" t="s">
        <v>3</v>
      </c>
      <c r="E3" s="455"/>
      <c r="F3" s="455"/>
      <c r="G3" s="455"/>
      <c r="H3" s="455"/>
      <c r="I3" s="455"/>
      <c r="J3" s="455"/>
      <c r="K3" s="455"/>
      <c r="M3" s="453" t="s">
        <v>4</v>
      </c>
      <c r="N3" s="453"/>
      <c r="O3" s="453" t="s">
        <v>4</v>
      </c>
      <c r="P3" s="453"/>
      <c r="Q3" s="471"/>
      <c r="R3" s="471"/>
      <c r="S3" s="471"/>
      <c r="T3" s="471"/>
      <c r="U3" s="471"/>
      <c r="V3" s="471"/>
      <c r="W3" s="471"/>
      <c r="Y3" s="455" t="s">
        <v>3</v>
      </c>
      <c r="Z3" s="455"/>
      <c r="AA3" s="455"/>
      <c r="AB3" s="455"/>
      <c r="AC3" s="455"/>
      <c r="AD3" s="455"/>
      <c r="AE3" s="455"/>
      <c r="AF3" s="455"/>
    </row>
    <row r="4" spans="1:32" x14ac:dyDescent="0.25">
      <c r="D4" s="452" t="s">
        <v>4</v>
      </c>
      <c r="E4" s="452"/>
      <c r="F4" s="452" t="s">
        <v>17</v>
      </c>
      <c r="G4" s="452"/>
      <c r="H4" s="452"/>
      <c r="I4" s="452" t="s">
        <v>5</v>
      </c>
      <c r="J4" s="452"/>
      <c r="K4" s="452"/>
      <c r="M4" s="453">
        <v>0.12</v>
      </c>
      <c r="N4" s="453"/>
      <c r="O4" s="453">
        <v>0.08</v>
      </c>
      <c r="P4" s="453"/>
      <c r="Q4" s="453">
        <f>C25-C24</f>
        <v>2.8600000000000003</v>
      </c>
      <c r="R4" s="453"/>
      <c r="S4" s="453">
        <v>6</v>
      </c>
      <c r="T4" s="453"/>
      <c r="U4" s="453">
        <f>($M$4+$O$4)*$Q$4*$S$4</f>
        <v>3.4320000000000004</v>
      </c>
      <c r="V4" s="453"/>
      <c r="W4" s="453"/>
      <c r="Y4" s="452" t="s">
        <v>4</v>
      </c>
      <c r="Z4" s="452"/>
      <c r="AA4" s="452" t="s">
        <v>17</v>
      </c>
      <c r="AB4" s="452"/>
      <c r="AC4" s="452"/>
      <c r="AD4" s="452" t="s">
        <v>5</v>
      </c>
      <c r="AE4" s="452"/>
      <c r="AF4" s="452"/>
    </row>
    <row r="5" spans="1:32" x14ac:dyDescent="0.25">
      <c r="D5" s="459">
        <v>0.04</v>
      </c>
      <c r="E5" s="459"/>
      <c r="F5" s="453">
        <v>25</v>
      </c>
      <c r="G5" s="453"/>
      <c r="H5" s="453"/>
      <c r="I5" s="453">
        <f>$D$5*$F$5*1*1</f>
        <v>1</v>
      </c>
      <c r="J5" s="453"/>
      <c r="K5" s="453"/>
      <c r="M5" s="423" t="s">
        <v>22</v>
      </c>
      <c r="N5" s="423"/>
      <c r="O5" s="423"/>
      <c r="P5" s="423"/>
      <c r="Q5" s="423"/>
      <c r="R5" s="423"/>
      <c r="S5" s="423"/>
      <c r="T5" s="423"/>
      <c r="U5" s="423"/>
      <c r="V5" s="423"/>
      <c r="W5" s="423"/>
      <c r="Y5" s="453">
        <v>0.04</v>
      </c>
      <c r="Z5" s="453"/>
      <c r="AA5" s="453">
        <v>25</v>
      </c>
      <c r="AB5" s="453"/>
      <c r="AC5" s="453"/>
      <c r="AD5" s="453">
        <f>$D$5*$F$5*1*1</f>
        <v>1</v>
      </c>
      <c r="AE5" s="453"/>
      <c r="AF5" s="453"/>
    </row>
    <row r="6" spans="1:32" x14ac:dyDescent="0.25">
      <c r="D6" s="455" t="s">
        <v>6</v>
      </c>
      <c r="E6" s="455"/>
      <c r="F6" s="455"/>
      <c r="G6" s="455"/>
      <c r="H6" s="455"/>
      <c r="I6" s="455"/>
      <c r="J6" s="455"/>
      <c r="K6" s="455"/>
      <c r="M6" s="456" t="s">
        <v>28</v>
      </c>
      <c r="N6" s="456"/>
      <c r="O6" s="456" t="s">
        <v>29</v>
      </c>
      <c r="P6" s="456"/>
      <c r="Q6" s="456" t="s">
        <v>26</v>
      </c>
      <c r="R6" s="456"/>
      <c r="S6" s="456"/>
      <c r="T6" s="456"/>
      <c r="U6" s="456" t="s">
        <v>30</v>
      </c>
      <c r="V6" s="456"/>
      <c r="W6" s="456"/>
      <c r="Y6" s="455" t="s">
        <v>6</v>
      </c>
      <c r="Z6" s="455"/>
      <c r="AA6" s="455"/>
      <c r="AB6" s="455"/>
      <c r="AC6" s="455"/>
      <c r="AD6" s="455"/>
      <c r="AE6" s="455"/>
      <c r="AF6" s="455"/>
    </row>
    <row r="7" spans="1:32" x14ac:dyDescent="0.25">
      <c r="D7" s="3" t="s">
        <v>7</v>
      </c>
      <c r="E7" s="3" t="s">
        <v>8</v>
      </c>
      <c r="F7" s="3" t="s">
        <v>9</v>
      </c>
      <c r="G7" s="3" t="s">
        <v>10</v>
      </c>
      <c r="H7" s="3" t="s">
        <v>11</v>
      </c>
      <c r="I7" s="3" t="s">
        <v>12</v>
      </c>
      <c r="J7" s="3" t="s">
        <v>13</v>
      </c>
      <c r="K7" s="3" t="s">
        <v>14</v>
      </c>
      <c r="M7" s="453">
        <v>0.04</v>
      </c>
      <c r="N7" s="453"/>
      <c r="O7" s="453">
        <f>Q4</f>
        <v>2.8600000000000003</v>
      </c>
      <c r="P7" s="453"/>
      <c r="Q7" s="453">
        <v>20</v>
      </c>
      <c r="R7" s="453"/>
      <c r="S7" s="453"/>
      <c r="T7" s="453"/>
      <c r="U7" s="453">
        <f>$M$7*$O$7*$Q$7*1</f>
        <v>2.2880000000000003</v>
      </c>
      <c r="V7" s="453"/>
      <c r="W7" s="453"/>
      <c r="Y7" s="3" t="s">
        <v>7</v>
      </c>
      <c r="Z7" s="3" t="s">
        <v>8</v>
      </c>
      <c r="AA7" s="3" t="s">
        <v>9</v>
      </c>
      <c r="AB7" s="3" t="s">
        <v>10</v>
      </c>
      <c r="AC7" s="3" t="s">
        <v>11</v>
      </c>
      <c r="AD7" s="3" t="s">
        <v>12</v>
      </c>
      <c r="AE7" s="3" t="s">
        <v>13</v>
      </c>
      <c r="AF7" s="3" t="s">
        <v>14</v>
      </c>
    </row>
    <row r="8" spans="1:32" x14ac:dyDescent="0.25">
      <c r="D8" s="4">
        <v>0.25</v>
      </c>
      <c r="E8" s="4">
        <v>0.04</v>
      </c>
      <c r="F8" s="4">
        <f>$D$8+($E$8*2)</f>
        <v>0.33</v>
      </c>
      <c r="G8" s="4">
        <v>0.4</v>
      </c>
      <c r="H8" s="17">
        <v>0.18</v>
      </c>
      <c r="I8" s="4">
        <v>7.5999999999999998E-2</v>
      </c>
      <c r="J8" s="4">
        <v>7.5</v>
      </c>
      <c r="K8" s="4">
        <f>$I$8*$J$8</f>
        <v>0.56999999999999995</v>
      </c>
      <c r="M8" s="458" t="s">
        <v>21</v>
      </c>
      <c r="N8" s="453"/>
      <c r="O8" s="453"/>
      <c r="P8" s="453"/>
      <c r="Q8" s="453"/>
      <c r="R8" s="453"/>
      <c r="S8" s="453"/>
      <c r="T8" s="453"/>
      <c r="U8" s="458">
        <f>$U$4+$U$7</f>
        <v>5.7200000000000006</v>
      </c>
      <c r="V8" s="458"/>
      <c r="W8" s="458"/>
      <c r="Y8" s="4">
        <v>0.25</v>
      </c>
      <c r="Z8" s="4">
        <v>0.04</v>
      </c>
      <c r="AA8" s="4">
        <f>$D$8+($E$8*2)</f>
        <v>0.33</v>
      </c>
      <c r="AB8" s="4">
        <v>0.4</v>
      </c>
      <c r="AC8" s="4">
        <v>0.18</v>
      </c>
      <c r="AD8" s="4">
        <v>7.5999999999999998E-2</v>
      </c>
      <c r="AE8" s="4">
        <v>7.5</v>
      </c>
      <c r="AF8" s="4">
        <f>$I$8*$J$8</f>
        <v>0.56999999999999995</v>
      </c>
    </row>
    <row r="9" spans="1:32" x14ac:dyDescent="0.25">
      <c r="D9" s="455" t="s">
        <v>15</v>
      </c>
      <c r="E9" s="456"/>
      <c r="F9" s="456"/>
      <c r="G9" s="456"/>
      <c r="H9" s="456"/>
      <c r="I9" s="456"/>
      <c r="J9" s="456"/>
      <c r="K9" s="456"/>
      <c r="Y9" s="455" t="s">
        <v>15</v>
      </c>
      <c r="Z9" s="456"/>
      <c r="AA9" s="456"/>
      <c r="AB9" s="456"/>
      <c r="AC9" s="456"/>
      <c r="AD9" s="456"/>
      <c r="AE9" s="456"/>
      <c r="AF9" s="456"/>
    </row>
    <row r="10" spans="1:32" x14ac:dyDescent="0.25">
      <c r="D10" s="3" t="s">
        <v>16</v>
      </c>
      <c r="E10" s="3" t="s">
        <v>7</v>
      </c>
      <c r="F10" s="3" t="s">
        <v>11</v>
      </c>
      <c r="G10" s="452" t="s">
        <v>18</v>
      </c>
      <c r="H10" s="452"/>
      <c r="I10" s="452"/>
      <c r="J10" s="463" t="s">
        <v>5</v>
      </c>
      <c r="K10" s="464"/>
      <c r="M10" s="437" t="s">
        <v>36</v>
      </c>
      <c r="N10" s="437"/>
      <c r="O10" s="437"/>
      <c r="P10" s="437"/>
      <c r="Q10" s="437"/>
      <c r="R10" s="437"/>
      <c r="S10" s="437"/>
      <c r="T10" s="437"/>
      <c r="U10" s="437"/>
      <c r="V10" s="437"/>
      <c r="W10" s="437"/>
      <c r="Y10" s="3" t="s">
        <v>16</v>
      </c>
      <c r="Z10" s="3" t="s">
        <v>7</v>
      </c>
      <c r="AA10" s="3" t="s">
        <v>11</v>
      </c>
      <c r="AB10" s="452" t="s">
        <v>18</v>
      </c>
      <c r="AC10" s="452"/>
      <c r="AD10" s="452"/>
      <c r="AE10" s="463" t="s">
        <v>5</v>
      </c>
      <c r="AF10" s="464"/>
    </row>
    <row r="11" spans="1:32" x14ac:dyDescent="0.25">
      <c r="D11" s="4">
        <v>3</v>
      </c>
      <c r="E11" s="4">
        <v>0.08</v>
      </c>
      <c r="F11" s="4">
        <v>0.18</v>
      </c>
      <c r="G11" s="460">
        <v>25</v>
      </c>
      <c r="H11" s="461"/>
      <c r="I11" s="462"/>
      <c r="J11" s="460">
        <f>$D$11*$E$11*$F$11*$G$11*1</f>
        <v>1.0799999999999998</v>
      </c>
      <c r="K11" s="462"/>
      <c r="M11" s="456" t="s">
        <v>18</v>
      </c>
      <c r="N11" s="456"/>
      <c r="O11" s="456"/>
      <c r="P11" s="5" t="s">
        <v>32</v>
      </c>
      <c r="Q11" s="5" t="s">
        <v>10</v>
      </c>
      <c r="R11" s="456" t="s">
        <v>30</v>
      </c>
      <c r="S11" s="456"/>
      <c r="T11" s="456"/>
      <c r="U11" s="456" t="s">
        <v>33</v>
      </c>
      <c r="V11" s="456"/>
      <c r="W11" s="456"/>
      <c r="Y11" s="4">
        <v>3</v>
      </c>
      <c r="Z11" s="4">
        <v>0.08</v>
      </c>
      <c r="AA11" s="4">
        <v>0.18</v>
      </c>
      <c r="AB11" s="460">
        <v>25</v>
      </c>
      <c r="AC11" s="461"/>
      <c r="AD11" s="462"/>
      <c r="AE11" s="460">
        <f>$D$11*$E$11*$F$11*$G$11*1</f>
        <v>1.0799999999999998</v>
      </c>
      <c r="AF11" s="462"/>
    </row>
    <row r="12" spans="1:32" x14ac:dyDescent="0.25">
      <c r="D12" s="467" t="s">
        <v>21</v>
      </c>
      <c r="E12" s="461"/>
      <c r="F12" s="461"/>
      <c r="G12" s="461"/>
      <c r="H12" s="461"/>
      <c r="I12" s="462"/>
      <c r="J12" s="467">
        <f>$I$5+$K$8+$J$11</f>
        <v>2.6499999999999995</v>
      </c>
      <c r="K12" s="468"/>
      <c r="M12" s="453">
        <v>25</v>
      </c>
      <c r="N12" s="453"/>
      <c r="O12" s="453"/>
      <c r="P12" s="6">
        <v>0.3</v>
      </c>
      <c r="Q12" s="6">
        <v>0.6</v>
      </c>
      <c r="R12" s="453">
        <f>$M$12*$P$12*$Q$12*1</f>
        <v>4.5</v>
      </c>
      <c r="S12" s="453"/>
      <c r="T12" s="453"/>
      <c r="U12" s="457">
        <f>$J$12*$P$12*1</f>
        <v>0.79499999999999982</v>
      </c>
      <c r="V12" s="457"/>
      <c r="W12" s="457"/>
      <c r="Y12" s="467" t="s">
        <v>21</v>
      </c>
      <c r="Z12" s="461"/>
      <c r="AA12" s="461"/>
      <c r="AB12" s="461"/>
      <c r="AC12" s="461"/>
      <c r="AD12" s="462"/>
      <c r="AE12" s="467">
        <f>$I$5+$K$8+$J$11</f>
        <v>2.6499999999999995</v>
      </c>
      <c r="AF12" s="468"/>
    </row>
    <row r="13" spans="1:32" x14ac:dyDescent="0.25">
      <c r="A13" s="423" t="s">
        <v>187</v>
      </c>
      <c r="B13" s="423"/>
      <c r="C13" s="423"/>
      <c r="D13" s="420" t="s">
        <v>233</v>
      </c>
      <c r="E13" s="424"/>
      <c r="F13" s="424"/>
      <c r="G13" s="424"/>
      <c r="H13" s="424"/>
      <c r="I13" s="424"/>
      <c r="J13" s="424"/>
      <c r="K13" s="424"/>
      <c r="M13" s="458" t="s">
        <v>21</v>
      </c>
      <c r="N13" s="458"/>
      <c r="O13" s="458"/>
      <c r="P13" s="458"/>
      <c r="Q13" s="458"/>
      <c r="R13" s="458"/>
      <c r="S13" s="458"/>
      <c r="T13" s="458"/>
      <c r="U13" s="472">
        <f>$R$12-$U$12</f>
        <v>3.7050000000000001</v>
      </c>
      <c r="V13" s="458"/>
      <c r="W13" s="458"/>
      <c r="Y13" s="423" t="s">
        <v>235</v>
      </c>
      <c r="Z13" s="424"/>
      <c r="AA13" s="424"/>
      <c r="AB13" s="424"/>
      <c r="AC13" s="424"/>
      <c r="AD13" s="424"/>
      <c r="AE13" s="424"/>
      <c r="AF13" s="424"/>
    </row>
    <row r="14" spans="1:32" x14ac:dyDescent="0.25">
      <c r="A14" s="455" t="s">
        <v>188</v>
      </c>
      <c r="B14" s="455"/>
      <c r="C14" s="455"/>
      <c r="D14" s="465" t="s">
        <v>19</v>
      </c>
      <c r="E14" s="456"/>
      <c r="F14" s="456"/>
      <c r="G14" s="456"/>
      <c r="H14" s="456"/>
      <c r="I14" s="456"/>
      <c r="J14" s="456"/>
      <c r="K14" s="456"/>
      <c r="Y14" s="455" t="s">
        <v>31</v>
      </c>
      <c r="Z14" s="456"/>
      <c r="AA14" s="456"/>
      <c r="AB14" s="456"/>
      <c r="AC14" s="456"/>
      <c r="AD14" s="456"/>
      <c r="AE14" s="456"/>
      <c r="AF14" s="456"/>
    </row>
    <row r="15" spans="1:32" x14ac:dyDescent="0.25">
      <c r="A15" s="59" t="s">
        <v>189</v>
      </c>
      <c r="B15" s="59" t="s">
        <v>190</v>
      </c>
      <c r="C15" s="59" t="s">
        <v>140</v>
      </c>
      <c r="D15" s="464" t="s">
        <v>4</v>
      </c>
      <c r="E15" s="452"/>
      <c r="F15" s="452" t="s">
        <v>17</v>
      </c>
      <c r="G15" s="452"/>
      <c r="H15" s="452"/>
      <c r="I15" s="452" t="s">
        <v>5</v>
      </c>
      <c r="J15" s="452"/>
      <c r="K15" s="452"/>
      <c r="M15" s="437" t="s">
        <v>35</v>
      </c>
      <c r="N15" s="437"/>
      <c r="O15" s="437"/>
      <c r="P15" s="437"/>
      <c r="Q15" s="437"/>
      <c r="R15" s="437"/>
      <c r="S15" s="437"/>
      <c r="T15" s="437"/>
      <c r="U15" s="437"/>
      <c r="V15" s="437"/>
      <c r="W15" s="437"/>
      <c r="Y15" s="452" t="s">
        <v>4</v>
      </c>
      <c r="Z15" s="452"/>
      <c r="AA15" s="452" t="s">
        <v>17</v>
      </c>
      <c r="AB15" s="452"/>
      <c r="AC15" s="452"/>
      <c r="AD15" s="452" t="s">
        <v>5</v>
      </c>
      <c r="AE15" s="452"/>
      <c r="AF15" s="452"/>
    </row>
    <row r="16" spans="1:32" x14ac:dyDescent="0.25">
      <c r="A16" s="59">
        <v>0.04</v>
      </c>
      <c r="B16" s="59">
        <v>18</v>
      </c>
      <c r="C16" s="59">
        <f>A16*B16</f>
        <v>0.72</v>
      </c>
      <c r="D16" s="469">
        <v>0.08</v>
      </c>
      <c r="E16" s="459"/>
      <c r="F16" s="453">
        <v>4.57</v>
      </c>
      <c r="G16" s="453"/>
      <c r="H16" s="453"/>
      <c r="I16" s="457">
        <f>$D$16*$F$16*1</f>
        <v>0.36560000000000004</v>
      </c>
      <c r="J16" s="457"/>
      <c r="K16" s="457"/>
      <c r="M16" s="456" t="s">
        <v>18</v>
      </c>
      <c r="N16" s="456"/>
      <c r="O16" s="456"/>
      <c r="P16" s="456" t="s">
        <v>29</v>
      </c>
      <c r="Q16" s="456"/>
      <c r="R16" s="456" t="s">
        <v>10</v>
      </c>
      <c r="S16" s="456"/>
      <c r="T16" s="456"/>
      <c r="U16" s="456" t="s">
        <v>30</v>
      </c>
      <c r="V16" s="456"/>
      <c r="W16" s="456"/>
      <c r="Y16" s="453">
        <v>0.04</v>
      </c>
      <c r="Z16" s="453"/>
      <c r="AA16" s="453">
        <v>18</v>
      </c>
      <c r="AB16" s="453"/>
      <c r="AC16" s="453"/>
      <c r="AD16" s="457">
        <f>$Y$16*$AA$16*1</f>
        <v>0.72</v>
      </c>
      <c r="AE16" s="457"/>
      <c r="AF16" s="457"/>
    </row>
    <row r="17" spans="1:32" x14ac:dyDescent="0.25">
      <c r="A17" s="423" t="s">
        <v>191</v>
      </c>
      <c r="B17" s="424"/>
      <c r="C17" s="424"/>
      <c r="D17" s="420" t="s">
        <v>20</v>
      </c>
      <c r="E17" s="423"/>
      <c r="F17" s="423"/>
      <c r="G17" s="423"/>
      <c r="H17" s="423"/>
      <c r="I17" s="423"/>
      <c r="J17" s="423"/>
      <c r="K17" s="423"/>
      <c r="M17" s="453">
        <v>25</v>
      </c>
      <c r="N17" s="453"/>
      <c r="O17" s="453"/>
      <c r="P17" s="453">
        <v>0.22</v>
      </c>
      <c r="Q17" s="453"/>
      <c r="R17" s="453">
        <v>0.6</v>
      </c>
      <c r="S17" s="453"/>
      <c r="T17" s="453"/>
      <c r="U17" s="458">
        <f>($M$17*$P$17*$R$17*1)-(J12*R17)</f>
        <v>1.7100000000000002</v>
      </c>
      <c r="V17" s="458"/>
      <c r="W17" s="458"/>
      <c r="Y17" s="423" t="s">
        <v>234</v>
      </c>
      <c r="Z17" s="423"/>
      <c r="AA17" s="423"/>
      <c r="AB17" s="423"/>
      <c r="AC17" s="423"/>
      <c r="AD17" s="423"/>
      <c r="AE17" s="423"/>
      <c r="AF17" s="423"/>
    </row>
    <row r="18" spans="1:32" x14ac:dyDescent="0.25">
      <c r="A18" s="59" t="s">
        <v>189</v>
      </c>
      <c r="B18" s="59" t="s">
        <v>190</v>
      </c>
      <c r="C18" s="59" t="s">
        <v>140</v>
      </c>
      <c r="D18" s="464" t="s">
        <v>4</v>
      </c>
      <c r="E18" s="452"/>
      <c r="F18" s="452" t="s">
        <v>17</v>
      </c>
      <c r="G18" s="452"/>
      <c r="H18" s="452"/>
      <c r="I18" s="452" t="s">
        <v>5</v>
      </c>
      <c r="J18" s="452"/>
      <c r="K18" s="452"/>
      <c r="Y18" s="452" t="s">
        <v>4</v>
      </c>
      <c r="Z18" s="452"/>
      <c r="AA18" s="452" t="s">
        <v>17</v>
      </c>
      <c r="AB18" s="452"/>
      <c r="AC18" s="452"/>
      <c r="AD18" s="452" t="s">
        <v>5</v>
      </c>
      <c r="AE18" s="452"/>
      <c r="AF18" s="452"/>
    </row>
    <row r="19" spans="1:32" x14ac:dyDescent="0.25">
      <c r="A19" s="59">
        <v>0.02</v>
      </c>
      <c r="B19" s="59">
        <v>20</v>
      </c>
      <c r="C19" s="59">
        <f>A19*B19</f>
        <v>0.4</v>
      </c>
      <c r="D19" s="469">
        <v>0.02</v>
      </c>
      <c r="E19" s="459"/>
      <c r="F19" s="453">
        <v>27</v>
      </c>
      <c r="G19" s="453"/>
      <c r="H19" s="453"/>
      <c r="I19" s="453">
        <f>$D$19*$F$19*1*1</f>
        <v>0.54</v>
      </c>
      <c r="J19" s="453"/>
      <c r="K19" s="453"/>
      <c r="M19" s="437" t="s">
        <v>391</v>
      </c>
      <c r="N19" s="437"/>
      <c r="O19" s="437"/>
      <c r="P19" s="437"/>
      <c r="Q19" s="437"/>
      <c r="R19" s="437"/>
      <c r="S19" s="437"/>
      <c r="T19" s="437"/>
      <c r="U19" s="437"/>
      <c r="V19" s="437"/>
      <c r="W19" s="437"/>
      <c r="Y19" s="453">
        <v>0.02</v>
      </c>
      <c r="Z19" s="453"/>
      <c r="AA19" s="453">
        <v>22</v>
      </c>
      <c r="AB19" s="453"/>
      <c r="AC19" s="453"/>
      <c r="AD19" s="453">
        <f>$Y$19*$AA$19*1*1</f>
        <v>0.44</v>
      </c>
      <c r="AE19" s="453"/>
      <c r="AF19" s="453"/>
    </row>
    <row r="20" spans="1:32" x14ac:dyDescent="0.25">
      <c r="A20" s="470" t="s">
        <v>163</v>
      </c>
      <c r="B20" s="470"/>
      <c r="C20" s="59">
        <f>C16+C19</f>
        <v>1.1200000000000001</v>
      </c>
      <c r="D20" s="454" t="s">
        <v>22</v>
      </c>
      <c r="E20" s="454"/>
      <c r="F20" s="454"/>
      <c r="G20" s="454"/>
      <c r="H20" s="454"/>
      <c r="I20" s="454"/>
      <c r="J20" s="454"/>
      <c r="K20" s="454"/>
      <c r="M20" s="456" t="s">
        <v>18</v>
      </c>
      <c r="N20" s="456"/>
      <c r="O20" s="456"/>
      <c r="P20" s="456" t="s">
        <v>158</v>
      </c>
      <c r="Q20" s="456"/>
      <c r="R20" s="456" t="s">
        <v>10</v>
      </c>
      <c r="S20" s="456"/>
      <c r="T20" s="456"/>
      <c r="U20" s="456" t="s">
        <v>30</v>
      </c>
      <c r="V20" s="456"/>
      <c r="W20" s="456"/>
      <c r="Y20" s="454" t="s">
        <v>22</v>
      </c>
      <c r="Z20" s="454"/>
      <c r="AA20" s="454"/>
      <c r="AB20" s="454"/>
      <c r="AC20" s="454"/>
      <c r="AD20" s="454"/>
      <c r="AE20" s="454"/>
      <c r="AF20" s="454"/>
    </row>
    <row r="21" spans="1:32" x14ac:dyDescent="0.25">
      <c r="D21" s="452" t="s">
        <v>4</v>
      </c>
      <c r="E21" s="452"/>
      <c r="F21" s="452" t="s">
        <v>17</v>
      </c>
      <c r="G21" s="452"/>
      <c r="H21" s="452"/>
      <c r="I21" s="452" t="s">
        <v>5</v>
      </c>
      <c r="J21" s="452"/>
      <c r="K21" s="452"/>
      <c r="M21" s="453">
        <v>25</v>
      </c>
      <c r="N21" s="453"/>
      <c r="O21" s="453"/>
      <c r="P21" s="453">
        <v>0.3</v>
      </c>
      <c r="Q21" s="453"/>
      <c r="R21" s="453">
        <v>0.7</v>
      </c>
      <c r="S21" s="453"/>
      <c r="T21" s="453"/>
      <c r="U21" s="453">
        <f>$M$21*$P$21*$R$21*2.6</f>
        <v>13.65</v>
      </c>
      <c r="V21" s="453"/>
      <c r="W21" s="453"/>
      <c r="Y21" s="452" t="s">
        <v>4</v>
      </c>
      <c r="Z21" s="452"/>
      <c r="AA21" s="452" t="s">
        <v>17</v>
      </c>
      <c r="AB21" s="452"/>
      <c r="AC21" s="452"/>
      <c r="AD21" s="452" t="s">
        <v>5</v>
      </c>
      <c r="AE21" s="452"/>
      <c r="AF21" s="452"/>
    </row>
    <row r="22" spans="1:32" x14ac:dyDescent="0.25">
      <c r="D22" s="459">
        <v>0.02</v>
      </c>
      <c r="E22" s="459"/>
      <c r="F22" s="453">
        <v>20</v>
      </c>
      <c r="G22" s="453"/>
      <c r="H22" s="453"/>
      <c r="I22" s="453">
        <f>$D$22*$F$22</f>
        <v>0.4</v>
      </c>
      <c r="J22" s="453"/>
      <c r="K22" s="453"/>
      <c r="Y22" s="453">
        <v>0.02</v>
      </c>
      <c r="Z22" s="453"/>
      <c r="AA22" s="453">
        <v>20</v>
      </c>
      <c r="AB22" s="453"/>
      <c r="AC22" s="453"/>
      <c r="AD22" s="453">
        <f>$D$22*$F$22</f>
        <v>0.4</v>
      </c>
      <c r="AE22" s="453"/>
      <c r="AF22" s="453"/>
    </row>
    <row r="23" spans="1:32" x14ac:dyDescent="0.25">
      <c r="D23" s="458" t="s">
        <v>21</v>
      </c>
      <c r="E23" s="453"/>
      <c r="F23" s="453"/>
      <c r="G23" s="453"/>
      <c r="H23" s="453"/>
      <c r="I23" s="472">
        <f>$I$16+$I$19+$I$22</f>
        <v>1.3056000000000001</v>
      </c>
      <c r="J23" s="458"/>
      <c r="K23" s="458"/>
      <c r="M23" s="437" t="s">
        <v>391</v>
      </c>
      <c r="N23" s="437"/>
      <c r="O23" s="437"/>
      <c r="P23" s="437"/>
      <c r="Q23" s="437"/>
      <c r="R23" s="437"/>
      <c r="S23" s="437"/>
      <c r="T23" s="437"/>
      <c r="U23" s="437"/>
      <c r="V23" s="437"/>
      <c r="W23" s="437"/>
      <c r="Y23" s="458" t="s">
        <v>21</v>
      </c>
      <c r="Z23" s="453"/>
      <c r="AA23" s="453"/>
      <c r="AB23" s="453"/>
      <c r="AC23" s="453"/>
      <c r="AD23" s="472">
        <f>$AD$16+$AD$22+AD19</f>
        <v>1.56</v>
      </c>
      <c r="AE23" s="458"/>
      <c r="AF23" s="458"/>
    </row>
    <row r="24" spans="1:32" x14ac:dyDescent="0.25">
      <c r="A24" s="14" t="s">
        <v>104</v>
      </c>
      <c r="B24" s="16"/>
      <c r="C24" s="14">
        <f>D5+H8+D16+D19+D22</f>
        <v>0.34</v>
      </c>
      <c r="M24" s="456" t="s">
        <v>18</v>
      </c>
      <c r="N24" s="456"/>
      <c r="O24" s="456"/>
      <c r="P24" s="456" t="s">
        <v>158</v>
      </c>
      <c r="Q24" s="456"/>
      <c r="R24" s="456" t="s">
        <v>10</v>
      </c>
      <c r="S24" s="456"/>
      <c r="T24" s="456"/>
      <c r="U24" s="456" t="s">
        <v>30</v>
      </c>
      <c r="V24" s="456"/>
      <c r="W24" s="456"/>
    </row>
    <row r="25" spans="1:32" x14ac:dyDescent="0.25">
      <c r="A25" s="14" t="s">
        <v>105</v>
      </c>
      <c r="B25" s="14"/>
      <c r="C25" s="14">
        <v>3.2</v>
      </c>
      <c r="M25" s="453">
        <v>25</v>
      </c>
      <c r="N25" s="453"/>
      <c r="O25" s="453"/>
      <c r="P25" s="453">
        <v>0.3</v>
      </c>
      <c r="Q25" s="453"/>
      <c r="R25" s="453">
        <v>0.7</v>
      </c>
      <c r="S25" s="453"/>
      <c r="T25" s="453"/>
      <c r="U25" s="453">
        <f>M25*P25*R25*2.6</f>
        <v>13.65</v>
      </c>
      <c r="V25" s="453"/>
      <c r="W25" s="453"/>
    </row>
    <row r="26" spans="1:32" x14ac:dyDescent="0.25">
      <c r="E26" s="437" t="s">
        <v>51</v>
      </c>
      <c r="F26" s="441"/>
      <c r="G26" s="441"/>
      <c r="H26" s="441"/>
      <c r="I26" s="441"/>
      <c r="J26" s="441"/>
      <c r="K26" s="441"/>
      <c r="L26" s="437" t="s">
        <v>52</v>
      </c>
      <c r="M26" s="441"/>
      <c r="N26" s="441"/>
    </row>
    <row r="27" spans="1:32" x14ac:dyDescent="0.25">
      <c r="E27" s="8" t="s">
        <v>42</v>
      </c>
      <c r="F27" s="8" t="s">
        <v>43</v>
      </c>
      <c r="G27" s="8" t="s">
        <v>44</v>
      </c>
      <c r="H27" s="8" t="s">
        <v>45</v>
      </c>
      <c r="I27" s="8" t="s">
        <v>46</v>
      </c>
      <c r="J27" s="8" t="s">
        <v>47</v>
      </c>
      <c r="K27" s="8" t="s">
        <v>48</v>
      </c>
      <c r="L27" s="9" t="s">
        <v>49</v>
      </c>
      <c r="M27" s="8" t="s">
        <v>50</v>
      </c>
      <c r="N27" s="8" t="s">
        <v>76</v>
      </c>
    </row>
    <row r="28" spans="1:32" x14ac:dyDescent="0.25">
      <c r="A28" s="7" t="s">
        <v>53</v>
      </c>
      <c r="B28" s="84">
        <v>1.3</v>
      </c>
      <c r="C28" s="423" t="s">
        <v>182</v>
      </c>
      <c r="D28" s="423"/>
      <c r="E28" s="56">
        <f>$J$12+$I$23</f>
        <v>3.9555999999999996</v>
      </c>
      <c r="F28" s="5">
        <v>1.2</v>
      </c>
      <c r="G28" s="5">
        <v>2</v>
      </c>
      <c r="H28" s="10">
        <f>$E$28*$B$28</f>
        <v>5.1422799999999995</v>
      </c>
      <c r="I28" s="5">
        <f>$F$28*$B$29</f>
        <v>1.7999999999999998</v>
      </c>
      <c r="J28" s="5">
        <f>$G$28*$B$29</f>
        <v>3</v>
      </c>
      <c r="K28" s="10">
        <f>$H$28+$I$28+$J$28</f>
        <v>9.9422800000000002</v>
      </c>
      <c r="L28" s="5">
        <v>0.3</v>
      </c>
      <c r="M28" s="5">
        <f>$L$28*$G$28</f>
        <v>0.6</v>
      </c>
      <c r="N28" s="10">
        <f>$E$28+$F$28+$M$28</f>
        <v>5.7555999999999994</v>
      </c>
    </row>
    <row r="29" spans="1:32" x14ac:dyDescent="0.25">
      <c r="A29" s="7" t="s">
        <v>54</v>
      </c>
      <c r="B29" s="84">
        <v>1.5</v>
      </c>
      <c r="C29" s="423" t="s">
        <v>34</v>
      </c>
      <c r="D29" s="423"/>
      <c r="E29" s="52">
        <f>U8</f>
        <v>5.7200000000000006</v>
      </c>
      <c r="F29" s="5" t="s">
        <v>55</v>
      </c>
      <c r="G29" s="5" t="s">
        <v>55</v>
      </c>
      <c r="H29" s="5">
        <f>$E$29*$B$28</f>
        <v>7.4360000000000008</v>
      </c>
      <c r="I29" s="5" t="s">
        <v>55</v>
      </c>
      <c r="J29" s="5" t="s">
        <v>55</v>
      </c>
      <c r="K29" s="10">
        <f>$H$29</f>
        <v>7.4360000000000008</v>
      </c>
      <c r="L29" s="5" t="s">
        <v>55</v>
      </c>
      <c r="M29" s="5" t="s">
        <v>55</v>
      </c>
      <c r="N29" s="10">
        <f>$E$29</f>
        <v>5.7200000000000006</v>
      </c>
    </row>
    <row r="30" spans="1:32" x14ac:dyDescent="0.25">
      <c r="C30" s="423" t="s">
        <v>37</v>
      </c>
      <c r="D30" s="423"/>
      <c r="E30" s="56">
        <f>$U$13</f>
        <v>3.7050000000000001</v>
      </c>
      <c r="F30" s="5" t="s">
        <v>55</v>
      </c>
      <c r="G30" s="5" t="s">
        <v>55</v>
      </c>
      <c r="H30" s="11">
        <f>$E$30*$B$28</f>
        <v>4.8165000000000004</v>
      </c>
      <c r="I30" s="5" t="s">
        <v>55</v>
      </c>
      <c r="J30" s="5" t="s">
        <v>55</v>
      </c>
      <c r="K30" s="10">
        <f>$H$30</f>
        <v>4.8165000000000004</v>
      </c>
      <c r="L30" s="5" t="s">
        <v>55</v>
      </c>
      <c r="M30" s="5" t="s">
        <v>55</v>
      </c>
      <c r="N30" s="10">
        <f>$E$30</f>
        <v>3.7050000000000001</v>
      </c>
    </row>
    <row r="31" spans="1:32" x14ac:dyDescent="0.25">
      <c r="C31" s="423" t="s">
        <v>38</v>
      </c>
      <c r="D31" s="423"/>
      <c r="E31" s="52">
        <f>$U$17</f>
        <v>1.7100000000000002</v>
      </c>
      <c r="F31" s="5" t="s">
        <v>55</v>
      </c>
      <c r="G31" s="5" t="s">
        <v>55</v>
      </c>
      <c r="H31" s="11">
        <f>$E$31*$B$28</f>
        <v>2.2230000000000003</v>
      </c>
      <c r="I31" s="5" t="s">
        <v>55</v>
      </c>
      <c r="J31" s="5" t="s">
        <v>55</v>
      </c>
      <c r="K31" s="10">
        <f>$H$31</f>
        <v>2.2230000000000003</v>
      </c>
      <c r="L31" s="5" t="s">
        <v>55</v>
      </c>
      <c r="M31" s="5" t="s">
        <v>55</v>
      </c>
      <c r="N31" s="10">
        <f>$E$31</f>
        <v>1.7100000000000002</v>
      </c>
    </row>
    <row r="32" spans="1:32" x14ac:dyDescent="0.25">
      <c r="C32" s="423" t="s">
        <v>40</v>
      </c>
      <c r="D32" s="423"/>
      <c r="E32" s="56">
        <f>$AE$12+$AD$23</f>
        <v>4.2099999999999991</v>
      </c>
      <c r="F32" s="5" t="s">
        <v>55</v>
      </c>
      <c r="G32" s="5">
        <v>4</v>
      </c>
      <c r="H32" s="11">
        <f>$E$32*$B$28</f>
        <v>5.472999999999999</v>
      </c>
      <c r="I32" s="5" t="s">
        <v>55</v>
      </c>
      <c r="J32" s="5">
        <f>$G$32*$B$29</f>
        <v>6</v>
      </c>
      <c r="K32" s="10">
        <f>$H$32+$J$32</f>
        <v>11.472999999999999</v>
      </c>
      <c r="L32" s="5">
        <v>0.6</v>
      </c>
      <c r="M32" s="5">
        <f>$L$32*$G$32</f>
        <v>2.4</v>
      </c>
      <c r="N32" s="10">
        <f>$M$32+$E$32</f>
        <v>6.6099999999999994</v>
      </c>
    </row>
    <row r="33" spans="3:33" x14ac:dyDescent="0.25">
      <c r="C33" s="423" t="s">
        <v>41</v>
      </c>
      <c r="D33" s="423"/>
      <c r="E33" s="52">
        <v>4.8</v>
      </c>
      <c r="F33" s="5" t="s">
        <v>55</v>
      </c>
      <c r="G33" s="5">
        <v>4</v>
      </c>
      <c r="H33" s="5">
        <f>$E$33*$B$28</f>
        <v>6.24</v>
      </c>
      <c r="I33" s="5" t="s">
        <v>55</v>
      </c>
      <c r="J33" s="5">
        <f>$G$33*$B$29</f>
        <v>6</v>
      </c>
      <c r="K33" s="10">
        <f>$H$33+$J$33</f>
        <v>12.24</v>
      </c>
      <c r="L33" s="5">
        <v>0.6</v>
      </c>
      <c r="M33" s="5">
        <f>$G$33*$L$33</f>
        <v>2.4</v>
      </c>
      <c r="N33" s="10">
        <f>$M$33+$E$33</f>
        <v>7.1999999999999993</v>
      </c>
    </row>
    <row r="34" spans="3:33" x14ac:dyDescent="0.25">
      <c r="C34" s="423" t="s">
        <v>180</v>
      </c>
      <c r="D34" s="424"/>
      <c r="E34" s="52">
        <f>$U$21</f>
        <v>13.65</v>
      </c>
      <c r="F34" s="5" t="s">
        <v>55</v>
      </c>
      <c r="G34" s="5" t="s">
        <v>55</v>
      </c>
      <c r="H34" s="11">
        <f>$E$34*$B$28</f>
        <v>17.745000000000001</v>
      </c>
      <c r="I34" s="5" t="s">
        <v>55</v>
      </c>
      <c r="J34" s="5" t="s">
        <v>55</v>
      </c>
      <c r="K34" s="10">
        <f>$H$34</f>
        <v>17.745000000000001</v>
      </c>
      <c r="L34" s="5" t="s">
        <v>55</v>
      </c>
      <c r="M34" s="5" t="s">
        <v>55</v>
      </c>
      <c r="N34" s="10">
        <f>$E$34</f>
        <v>13.65</v>
      </c>
    </row>
    <row r="35" spans="3:33" x14ac:dyDescent="0.25">
      <c r="C35" s="423" t="s">
        <v>180</v>
      </c>
      <c r="D35" s="424"/>
      <c r="E35" s="52">
        <f>$U$25</f>
        <v>13.65</v>
      </c>
      <c r="F35" s="40" t="s">
        <v>55</v>
      </c>
      <c r="G35" s="40" t="s">
        <v>55</v>
      </c>
      <c r="H35" s="40">
        <f>$E$35*$B$28</f>
        <v>17.745000000000001</v>
      </c>
      <c r="I35" s="40" t="s">
        <v>55</v>
      </c>
      <c r="J35" s="40" t="s">
        <v>55</v>
      </c>
      <c r="K35" s="40">
        <f>$H$35</f>
        <v>17.745000000000001</v>
      </c>
      <c r="L35" s="40" t="s">
        <v>55</v>
      </c>
      <c r="M35" s="40" t="s">
        <v>55</v>
      </c>
      <c r="N35" s="40">
        <f>$E$35</f>
        <v>13.65</v>
      </c>
    </row>
    <row r="36" spans="3:33" x14ac:dyDescent="0.25">
      <c r="C36" s="423" t="s">
        <v>183</v>
      </c>
      <c r="D36" s="423"/>
      <c r="E36" s="85">
        <f>J12+AD23</f>
        <v>4.2099999999999991</v>
      </c>
      <c r="F36" s="48" t="s">
        <v>55</v>
      </c>
      <c r="G36" s="36">
        <f>$G$28</f>
        <v>2</v>
      </c>
      <c r="H36" s="85">
        <f>E36*B28</f>
        <v>5.472999999999999</v>
      </c>
      <c r="I36" s="48" t="s">
        <v>55</v>
      </c>
      <c r="J36" s="36">
        <f>G36*B29</f>
        <v>3</v>
      </c>
      <c r="K36" s="85">
        <f>H36+J36</f>
        <v>8.472999999999999</v>
      </c>
      <c r="L36" s="36">
        <f>L28</f>
        <v>0.3</v>
      </c>
      <c r="M36" s="36">
        <f>L36*G36</f>
        <v>0.6</v>
      </c>
      <c r="N36" s="85">
        <f>E36+M36</f>
        <v>4.8099999999999987</v>
      </c>
    </row>
    <row r="37" spans="3:33" x14ac:dyDescent="0.25">
      <c r="C37" s="423" t="s">
        <v>184</v>
      </c>
      <c r="D37" s="423"/>
      <c r="E37" s="36">
        <f>J12+C20</f>
        <v>3.7699999999999996</v>
      </c>
      <c r="F37" s="36"/>
      <c r="G37" s="36">
        <f>0.5</f>
        <v>0.5</v>
      </c>
      <c r="H37" s="86">
        <f>E37*B28</f>
        <v>4.9009999999999998</v>
      </c>
      <c r="I37" s="48" t="s">
        <v>55</v>
      </c>
      <c r="J37" s="36">
        <f>G37*B29</f>
        <v>0.75</v>
      </c>
      <c r="K37" s="86">
        <f>H37+J37</f>
        <v>5.6509999999999998</v>
      </c>
      <c r="L37" s="36">
        <v>0</v>
      </c>
      <c r="M37" s="36">
        <f>L37*G37</f>
        <v>0</v>
      </c>
      <c r="N37" s="36">
        <f>E37</f>
        <v>3.7699999999999996</v>
      </c>
    </row>
    <row r="39" spans="3:33" x14ac:dyDescent="0.25">
      <c r="E39" s="437" t="s">
        <v>305</v>
      </c>
      <c r="F39" s="437"/>
      <c r="G39" s="437"/>
      <c r="H39" s="437"/>
      <c r="I39" s="437"/>
      <c r="J39" s="437"/>
      <c r="K39" s="437"/>
      <c r="L39" s="437"/>
    </row>
    <row r="40" spans="3:33" x14ac:dyDescent="0.25">
      <c r="E40" s="218" t="s">
        <v>306</v>
      </c>
      <c r="F40" s="218" t="s">
        <v>298</v>
      </c>
      <c r="G40" s="218" t="s">
        <v>299</v>
      </c>
      <c r="H40" s="218" t="s">
        <v>300</v>
      </c>
      <c r="I40" s="218" t="s">
        <v>301</v>
      </c>
      <c r="J40" s="218" t="s">
        <v>302</v>
      </c>
      <c r="K40" s="218" t="s">
        <v>129</v>
      </c>
      <c r="L40" s="218" t="s">
        <v>303</v>
      </c>
    </row>
    <row r="41" spans="3:33" x14ac:dyDescent="0.25">
      <c r="E41" s="219">
        <v>4.25</v>
      </c>
      <c r="F41" s="219">
        <f>E41/2</f>
        <v>2.125</v>
      </c>
      <c r="G41" s="35">
        <f>(H28+H29)*F41</f>
        <v>26.728845</v>
      </c>
      <c r="H41" s="219">
        <f>F41*J28</f>
        <v>6.375</v>
      </c>
      <c r="I41" s="35">
        <f>H41+K30+G41</f>
        <v>37.920344999999998</v>
      </c>
      <c r="J41" s="35">
        <f>(E28+E29)*F41</f>
        <v>20.560649999999999</v>
      </c>
      <c r="K41" s="219">
        <f>M28*F41</f>
        <v>1.2749999999999999</v>
      </c>
      <c r="L41" s="35">
        <f>J41+K41+E30</f>
        <v>25.540649999999999</v>
      </c>
    </row>
    <row r="42" spans="3:33" x14ac:dyDescent="0.25">
      <c r="E42" s="416" t="s">
        <v>65</v>
      </c>
      <c r="F42" s="417"/>
      <c r="G42" s="417"/>
      <c r="H42" s="417"/>
      <c r="I42" s="417"/>
      <c r="J42" s="417"/>
      <c r="K42" s="417"/>
      <c r="L42" s="417"/>
      <c r="M42" s="417"/>
      <c r="N42" s="417"/>
      <c r="O42" s="417"/>
      <c r="P42" s="417" t="s">
        <v>65</v>
      </c>
      <c r="Q42" s="417"/>
      <c r="R42" s="417"/>
      <c r="S42" s="417"/>
      <c r="T42" s="418"/>
    </row>
    <row r="43" spans="3:33" x14ac:dyDescent="0.25">
      <c r="E43" s="9" t="s">
        <v>66</v>
      </c>
      <c r="F43" s="9" t="s">
        <v>67</v>
      </c>
      <c r="G43" s="45" t="s">
        <v>68</v>
      </c>
      <c r="H43" s="45" t="s">
        <v>69</v>
      </c>
      <c r="I43" s="419" t="s">
        <v>70</v>
      </c>
      <c r="J43" s="420"/>
      <c r="K43" s="45" t="s">
        <v>125</v>
      </c>
      <c r="L43" s="45" t="s">
        <v>126</v>
      </c>
      <c r="M43" s="419" t="s">
        <v>131</v>
      </c>
      <c r="N43" s="475"/>
      <c r="O43" s="420"/>
      <c r="P43" s="45" t="s">
        <v>127</v>
      </c>
      <c r="Q43" s="45" t="s">
        <v>129</v>
      </c>
      <c r="R43" s="419" t="s">
        <v>134</v>
      </c>
      <c r="S43" s="475"/>
      <c r="T43" s="420"/>
    </row>
    <row r="44" spans="3:33" x14ac:dyDescent="0.25">
      <c r="E44" s="48">
        <v>1</v>
      </c>
      <c r="F44" s="48">
        <v>1.2</v>
      </c>
      <c r="G44" s="48">
        <v>4.25</v>
      </c>
      <c r="H44" s="48">
        <v>4.68</v>
      </c>
      <c r="I44" s="425">
        <f>($E$44*$G$44/2)+($F$44*$H$44/2)</f>
        <v>4.9329999999999998</v>
      </c>
      <c r="J44" s="426"/>
      <c r="K44" s="47">
        <f>($H$28+$I$28)*$I$44</f>
        <v>34.246267239999995</v>
      </c>
      <c r="L44" s="47">
        <f>$J$28*$I$44</f>
        <v>14.798999999999999</v>
      </c>
      <c r="M44" s="425">
        <f>$K$44+$L$44+$K$30</f>
        <v>53.861767239999992</v>
      </c>
      <c r="N44" s="451"/>
      <c r="O44" s="426"/>
      <c r="P44" s="47">
        <f>($E$28+$F$28)*$I$44</f>
        <v>25.432574799999998</v>
      </c>
      <c r="Q44" s="47">
        <f>$M$28*$I$44</f>
        <v>2.9598</v>
      </c>
      <c r="R44" s="47">
        <f>$N$30+$P$44+$Q$44</f>
        <v>32.097374799999997</v>
      </c>
      <c r="S44" s="425"/>
      <c r="T44" s="426"/>
    </row>
    <row r="45" spans="3:33" x14ac:dyDescent="0.25">
      <c r="E45" s="15"/>
      <c r="F45" s="15"/>
      <c r="G45" s="15"/>
      <c r="H45" s="15"/>
      <c r="I45" s="15"/>
      <c r="J45" s="34"/>
      <c r="K45" s="34"/>
      <c r="L45" s="34"/>
      <c r="M45" s="448" t="s">
        <v>128</v>
      </c>
      <c r="N45" s="449"/>
      <c r="O45" s="450"/>
      <c r="P45" s="34"/>
      <c r="Q45" s="34"/>
      <c r="R45" s="33" t="s">
        <v>130</v>
      </c>
      <c r="S45" s="33"/>
      <c r="T45" s="33"/>
    </row>
    <row r="46" spans="3:33" x14ac:dyDescent="0.25">
      <c r="Q46" s="427" t="s">
        <v>150</v>
      </c>
      <c r="R46" s="427"/>
      <c r="S46" s="427"/>
      <c r="T46" s="427"/>
      <c r="U46" s="427"/>
      <c r="V46" s="427"/>
      <c r="W46" s="427"/>
      <c r="X46" s="427"/>
      <c r="Z46" s="427" t="s">
        <v>149</v>
      </c>
      <c r="AA46" s="427"/>
      <c r="AB46" s="427"/>
      <c r="AC46" s="427"/>
      <c r="AD46" s="427"/>
      <c r="AE46" s="427"/>
      <c r="AF46" s="427"/>
      <c r="AG46" s="427"/>
    </row>
    <row r="47" spans="3:33" x14ac:dyDescent="0.25">
      <c r="Q47" s="445" t="s">
        <v>144</v>
      </c>
      <c r="R47" s="447"/>
      <c r="S47" s="447"/>
      <c r="T47" s="446"/>
      <c r="U47" s="445" t="s">
        <v>145</v>
      </c>
      <c r="V47" s="446"/>
      <c r="W47" s="445" t="s">
        <v>144</v>
      </c>
      <c r="X47" s="446"/>
      <c r="Z47" s="445" t="s">
        <v>144</v>
      </c>
      <c r="AA47" s="447"/>
      <c r="AB47" s="447"/>
      <c r="AC47" s="446"/>
      <c r="AD47" s="445" t="s">
        <v>145</v>
      </c>
      <c r="AE47" s="446"/>
      <c r="AF47" s="445" t="s">
        <v>144</v>
      </c>
      <c r="AG47" s="446"/>
    </row>
    <row r="48" spans="3:33" x14ac:dyDescent="0.25">
      <c r="Q48" s="423" t="s">
        <v>137</v>
      </c>
      <c r="R48" s="423"/>
      <c r="S48" s="423"/>
      <c r="T48" s="42">
        <v>2.2999999999999998</v>
      </c>
      <c r="U48" s="60" t="s">
        <v>138</v>
      </c>
      <c r="V48" s="40"/>
      <c r="W48" s="38" t="s">
        <v>142</v>
      </c>
      <c r="X48" s="40">
        <f>$K$28*$T$48</f>
        <v>22.867243999999999</v>
      </c>
      <c r="Z48" s="423" t="s">
        <v>137</v>
      </c>
      <c r="AA48" s="423"/>
      <c r="AB48" s="423"/>
      <c r="AC48" s="39">
        <f>$T$48</f>
        <v>2.2999999999999998</v>
      </c>
      <c r="AD48" s="38" t="s">
        <v>154</v>
      </c>
      <c r="AE48" s="39"/>
      <c r="AF48" s="38" t="s">
        <v>155</v>
      </c>
      <c r="AG48" s="35">
        <f>$N$28*$AC$48</f>
        <v>13.237879999999997</v>
      </c>
    </row>
    <row r="49" spans="3:33" x14ac:dyDescent="0.25">
      <c r="Q49" s="423" t="s">
        <v>151</v>
      </c>
      <c r="R49" s="423"/>
      <c r="S49" s="423"/>
      <c r="T49" s="42">
        <f>$K$32*$T$48</f>
        <v>26.387899999999995</v>
      </c>
      <c r="U49" s="62"/>
      <c r="V49" s="40"/>
      <c r="W49" s="38" t="s">
        <v>143</v>
      </c>
      <c r="X49" s="10">
        <f>$K$29</f>
        <v>7.4360000000000008</v>
      </c>
      <c r="Z49" s="423" t="s">
        <v>152</v>
      </c>
      <c r="AA49" s="423"/>
      <c r="AB49" s="423"/>
      <c r="AC49" s="39">
        <f>$N$32*$AC$48</f>
        <v>15.202999999999998</v>
      </c>
      <c r="AD49" s="66"/>
      <c r="AE49" s="39"/>
      <c r="AF49" s="38" t="s">
        <v>156</v>
      </c>
      <c r="AG49" s="39">
        <f>$E$29</f>
        <v>5.7200000000000006</v>
      </c>
    </row>
    <row r="50" spans="3:33" x14ac:dyDescent="0.25">
      <c r="Q50" s="423" t="s">
        <v>140</v>
      </c>
      <c r="R50" s="423"/>
      <c r="S50" s="423"/>
      <c r="T50" s="41">
        <f>$K$31</f>
        <v>2.2230000000000003</v>
      </c>
      <c r="U50" s="62"/>
      <c r="V50" s="40"/>
      <c r="W50" s="38" t="s">
        <v>140</v>
      </c>
      <c r="X50" s="10">
        <f>$T$50</f>
        <v>2.2230000000000003</v>
      </c>
      <c r="Z50" s="423" t="s">
        <v>140</v>
      </c>
      <c r="AA50" s="423"/>
      <c r="AB50" s="423"/>
      <c r="AC50" s="35">
        <f>$N$31</f>
        <v>1.7100000000000002</v>
      </c>
      <c r="AD50" s="66"/>
      <c r="AE50" s="39"/>
      <c r="AF50" s="38" t="s">
        <v>140</v>
      </c>
      <c r="AG50" s="35">
        <f>$AC$50</f>
        <v>1.7100000000000002</v>
      </c>
    </row>
    <row r="51" spans="3:33" x14ac:dyDescent="0.25">
      <c r="Q51" s="444" t="s">
        <v>141</v>
      </c>
      <c r="R51" s="444"/>
      <c r="S51" s="444"/>
      <c r="T51" s="63">
        <f>$T$49+$T$50</f>
        <v>28.610899999999994</v>
      </c>
      <c r="U51" s="62"/>
      <c r="V51" s="64">
        <f>$T$48*$K$29</f>
        <v>17.102800000000002</v>
      </c>
      <c r="W51" s="38" t="s">
        <v>139</v>
      </c>
      <c r="X51" s="10">
        <f>$X$48+$X$49+$X$50</f>
        <v>32.526243999999998</v>
      </c>
      <c r="Z51" s="423" t="s">
        <v>153</v>
      </c>
      <c r="AA51" s="423"/>
      <c r="AB51" s="423"/>
      <c r="AC51" s="35">
        <f>$AC$49+$AC$50</f>
        <v>16.912999999999997</v>
      </c>
      <c r="AD51" s="66"/>
      <c r="AE51" s="39">
        <f>$E$29*$AC$48</f>
        <v>13.156000000000001</v>
      </c>
      <c r="AF51" s="38" t="s">
        <v>139</v>
      </c>
      <c r="AG51" s="35">
        <f>$AG$48+$AG$49+$AG$50</f>
        <v>20.667879999999997</v>
      </c>
    </row>
    <row r="52" spans="3:33" x14ac:dyDescent="0.25">
      <c r="Q52" s="437" t="s">
        <v>146</v>
      </c>
      <c r="R52" s="437"/>
      <c r="S52" s="437"/>
      <c r="T52" s="437"/>
      <c r="U52" s="437"/>
      <c r="V52" s="437"/>
      <c r="Z52" s="437" t="s">
        <v>146</v>
      </c>
      <c r="AA52" s="437"/>
      <c r="AB52" s="437"/>
      <c r="AC52" s="437"/>
      <c r="AD52" s="437"/>
      <c r="AE52" s="437"/>
    </row>
    <row r="53" spans="3:33" x14ac:dyDescent="0.25">
      <c r="C53" s="434" t="s">
        <v>132</v>
      </c>
      <c r="D53" s="443"/>
      <c r="E53" s="443"/>
      <c r="F53" s="443"/>
      <c r="G53" s="443"/>
      <c r="H53" s="435"/>
      <c r="J53" s="466" t="s">
        <v>133</v>
      </c>
      <c r="K53" s="466"/>
      <c r="L53" s="466"/>
      <c r="M53" s="466"/>
      <c r="N53" s="466"/>
      <c r="O53" s="466"/>
      <c r="Q53" s="43">
        <f>((T51*2.3)+(X51*1.1))/3.4</f>
        <v>29.877628941176468</v>
      </c>
      <c r="R53" s="1"/>
      <c r="S53" s="1"/>
      <c r="T53" s="1"/>
      <c r="U53" s="1"/>
      <c r="V53" s="1"/>
      <c r="Z53" s="43">
        <f>(($AC$51*$AC$48)+($AG$51*1.1))/3.4</f>
        <v>18.127814117647056</v>
      </c>
      <c r="AA53" s="1"/>
      <c r="AB53" s="1"/>
      <c r="AC53" s="1"/>
      <c r="AD53" s="1"/>
      <c r="AE53" s="1"/>
    </row>
    <row r="54" spans="3:33" x14ac:dyDescent="0.25">
      <c r="Q54" s="437" t="s">
        <v>147</v>
      </c>
      <c r="R54" s="437"/>
      <c r="S54" s="437"/>
      <c r="T54" s="437"/>
      <c r="U54" s="437"/>
      <c r="V54" s="437"/>
      <c r="Z54" s="437" t="s">
        <v>147</v>
      </c>
      <c r="AA54" s="437"/>
      <c r="AB54" s="437"/>
      <c r="AC54" s="437"/>
      <c r="AD54" s="437"/>
      <c r="AE54" s="437"/>
    </row>
    <row r="55" spans="3:33" x14ac:dyDescent="0.25">
      <c r="E55" s="427" t="s">
        <v>63</v>
      </c>
      <c r="F55" s="427"/>
      <c r="G55" s="427"/>
      <c r="H55" s="427"/>
      <c r="L55" s="427" t="s">
        <v>63</v>
      </c>
      <c r="M55" s="427"/>
      <c r="N55" s="427"/>
      <c r="O55" s="427"/>
      <c r="Q55" s="43">
        <f>(V51/3.4)+3</f>
        <v>8.0302352941176487</v>
      </c>
      <c r="R55" s="1"/>
      <c r="S55" s="1"/>
      <c r="T55" s="1"/>
      <c r="U55" s="1"/>
      <c r="V55" s="1"/>
      <c r="Z55" s="43">
        <f>($AE$51/3.4)+3</f>
        <v>6.8694117647058821</v>
      </c>
      <c r="AA55" s="1"/>
      <c r="AB55" s="1"/>
      <c r="AC55" s="1"/>
      <c r="AD55" s="1"/>
      <c r="AE55" s="1"/>
    </row>
    <row r="56" spans="3:33" x14ac:dyDescent="0.25">
      <c r="E56" s="419" t="s">
        <v>61</v>
      </c>
      <c r="F56" s="420"/>
      <c r="G56" s="419" t="s">
        <v>62</v>
      </c>
      <c r="H56" s="420"/>
      <c r="L56" s="419" t="s">
        <v>61</v>
      </c>
      <c r="M56" s="420"/>
      <c r="N56" s="419" t="s">
        <v>62</v>
      </c>
      <c r="O56" s="420"/>
      <c r="Q56" s="437" t="s">
        <v>148</v>
      </c>
      <c r="R56" s="437"/>
      <c r="S56" s="437"/>
      <c r="T56" s="67">
        <f>Q53+Q55</f>
        <v>37.907864235294113</v>
      </c>
      <c r="U56" s="1"/>
      <c r="V56" s="1"/>
      <c r="Z56" s="437" t="s">
        <v>157</v>
      </c>
      <c r="AA56" s="437"/>
      <c r="AB56" s="437"/>
      <c r="AC56" s="43">
        <f>$Z$53+$Z$55</f>
        <v>24.997225882352936</v>
      </c>
      <c r="AD56" s="1"/>
      <c r="AE56" s="1"/>
    </row>
    <row r="57" spans="3:33" x14ac:dyDescent="0.25">
      <c r="C57" s="419" t="s">
        <v>57</v>
      </c>
      <c r="D57" s="420"/>
      <c r="E57" s="30">
        <f>$M$44*($E$59^2)/10</f>
        <v>145.64221861695998</v>
      </c>
      <c r="F57" s="31"/>
      <c r="G57" s="30">
        <f>$R$44*($E$59^2)/10</f>
        <v>86.7913014592</v>
      </c>
      <c r="H57" s="31"/>
      <c r="J57" s="419" t="s">
        <v>57</v>
      </c>
      <c r="K57" s="420"/>
      <c r="L57" s="473">
        <f>$M$44*($E$59^2)/10</f>
        <v>145.64221861695998</v>
      </c>
      <c r="M57" s="474"/>
      <c r="N57" s="473">
        <f>$R$44*($E$59^2)/10</f>
        <v>86.7913014592</v>
      </c>
      <c r="O57" s="474"/>
      <c r="P57" s="14"/>
    </row>
    <row r="58" spans="3:33" x14ac:dyDescent="0.25">
      <c r="C58" s="53" t="s">
        <v>56</v>
      </c>
      <c r="D58" s="54"/>
      <c r="E58" s="50">
        <v>0.02</v>
      </c>
      <c r="F58" s="51"/>
      <c r="G58" s="51"/>
      <c r="H58" s="52"/>
      <c r="J58" s="53" t="s">
        <v>56</v>
      </c>
      <c r="K58" s="54"/>
      <c r="L58" s="50">
        <v>0.02</v>
      </c>
      <c r="M58" s="51"/>
      <c r="N58" s="51"/>
      <c r="O58" s="52"/>
    </row>
    <row r="59" spans="3:33" x14ac:dyDescent="0.25">
      <c r="C59" s="53" t="s">
        <v>64</v>
      </c>
      <c r="D59" s="54"/>
      <c r="E59" s="50">
        <v>5.2</v>
      </c>
      <c r="F59" s="51"/>
      <c r="G59" s="51"/>
      <c r="H59" s="52"/>
      <c r="J59" s="53" t="s">
        <v>64</v>
      </c>
      <c r="K59" s="54"/>
      <c r="L59" s="50">
        <v>5.2</v>
      </c>
      <c r="M59" s="51"/>
      <c r="N59" s="51"/>
      <c r="O59" s="52"/>
      <c r="Y59" s="427" t="s">
        <v>77</v>
      </c>
      <c r="Z59" s="427"/>
      <c r="AA59" s="427"/>
      <c r="AB59" s="427"/>
    </row>
    <row r="60" spans="3:33" x14ac:dyDescent="0.25">
      <c r="C60" s="53" t="s">
        <v>58</v>
      </c>
      <c r="D60" s="54"/>
      <c r="E60" s="50">
        <f>$P$12-$E$61</f>
        <v>0.26</v>
      </c>
      <c r="F60" s="51"/>
      <c r="G60" s="51"/>
      <c r="H60" s="52"/>
      <c r="J60" s="53" t="s">
        <v>60</v>
      </c>
      <c r="K60" s="54"/>
      <c r="L60" s="50">
        <f>0.3</f>
        <v>0.3</v>
      </c>
      <c r="M60" s="51"/>
      <c r="N60" s="51"/>
      <c r="O60" s="52"/>
      <c r="Y60" s="419" t="s">
        <v>61</v>
      </c>
      <c r="Z60" s="420"/>
      <c r="AA60" s="419" t="s">
        <v>62</v>
      </c>
      <c r="AB60" s="420"/>
    </row>
    <row r="61" spans="3:33" x14ac:dyDescent="0.25">
      <c r="C61" s="53" t="s">
        <v>59</v>
      </c>
      <c r="D61" s="54"/>
      <c r="E61" s="50">
        <v>0.04</v>
      </c>
      <c r="F61" s="51"/>
      <c r="G61" s="51"/>
      <c r="H61" s="52"/>
      <c r="J61" s="53" t="s">
        <v>59</v>
      </c>
      <c r="K61" s="54"/>
      <c r="L61" s="50">
        <v>0.04</v>
      </c>
      <c r="M61" s="51"/>
      <c r="N61" s="51"/>
      <c r="O61" s="52"/>
      <c r="W61" s="419" t="s">
        <v>57</v>
      </c>
      <c r="X61" s="420"/>
      <c r="Y61" s="473">
        <f>$T$56*($Y$63^2)/10</f>
        <v>43.821491055999992</v>
      </c>
      <c r="Z61" s="474"/>
      <c r="AA61" s="473">
        <f>$AC$56*($Y$63^2)/10</f>
        <v>28.896793119999991</v>
      </c>
      <c r="AB61" s="474"/>
    </row>
    <row r="62" spans="3:33" x14ac:dyDescent="0.25">
      <c r="C62" s="45" t="s">
        <v>60</v>
      </c>
      <c r="D62" s="45"/>
      <c r="E62" s="55">
        <f>($E$57*$E$58^2)/($E$60^2)</f>
        <v>0.86178827583999984</v>
      </c>
      <c r="F62" s="56"/>
      <c r="G62" s="55">
        <f>($G$57*$E$58^2)/($E$60^2)</f>
        <v>0.51355799679999992</v>
      </c>
      <c r="H62" s="56"/>
      <c r="J62" s="45" t="s">
        <v>58</v>
      </c>
      <c r="K62" s="45"/>
      <c r="L62" s="55">
        <f>$L$58*((L57/$L$60)^(1/2))</f>
        <v>0.44066951882631195</v>
      </c>
      <c r="M62" s="56"/>
      <c r="N62" s="55">
        <f>$L$58*(($N$57/$L$60)^(1/2))</f>
        <v>0.34017897536287178</v>
      </c>
      <c r="O62" s="56"/>
      <c r="W62" s="419" t="s">
        <v>56</v>
      </c>
      <c r="X62" s="420"/>
      <c r="Y62" s="476">
        <v>0.02</v>
      </c>
      <c r="Z62" s="477"/>
      <c r="AA62" s="477"/>
      <c r="AB62" s="478"/>
    </row>
    <row r="63" spans="3:33" x14ac:dyDescent="0.25">
      <c r="W63" s="419" t="s">
        <v>64</v>
      </c>
      <c r="X63" s="420"/>
      <c r="Y63" s="476">
        <v>3.4</v>
      </c>
      <c r="Z63" s="477"/>
      <c r="AA63" s="477"/>
      <c r="AB63" s="478"/>
    </row>
    <row r="64" spans="3:33" x14ac:dyDescent="0.25">
      <c r="D64" s="434" t="s">
        <v>166</v>
      </c>
      <c r="E64" s="435"/>
      <c r="W64" s="419" t="s">
        <v>58</v>
      </c>
      <c r="X64" s="420"/>
      <c r="Y64" s="476">
        <f>$P$17-$Y$65</f>
        <v>0.18</v>
      </c>
      <c r="Z64" s="477"/>
      <c r="AA64" s="477"/>
      <c r="AB64" s="478"/>
    </row>
    <row r="65" spans="1:28" x14ac:dyDescent="0.25">
      <c r="L65" s="77"/>
      <c r="M65" s="75"/>
      <c r="N65" s="75"/>
      <c r="O65" s="75"/>
      <c r="W65" s="419" t="s">
        <v>59</v>
      </c>
      <c r="X65" s="420"/>
      <c r="Y65" s="476">
        <v>0.04</v>
      </c>
      <c r="Z65" s="477"/>
      <c r="AA65" s="477"/>
      <c r="AB65" s="478"/>
    </row>
    <row r="66" spans="1:28" x14ac:dyDescent="0.25">
      <c r="C66" s="437" t="s">
        <v>75</v>
      </c>
      <c r="D66" s="441"/>
      <c r="E66" s="441"/>
      <c r="F66" s="441"/>
      <c r="G66" s="442"/>
      <c r="H66" s="442"/>
      <c r="I66" s="14" t="s">
        <v>103</v>
      </c>
      <c r="O66" s="13"/>
      <c r="W66" s="423" t="s">
        <v>60</v>
      </c>
      <c r="X66" s="423"/>
      <c r="Y66" s="473">
        <f>($Y$61*$Y$62^2)/($Y$64^2)</f>
        <v>0.54100606241975302</v>
      </c>
      <c r="Z66" s="474"/>
      <c r="AA66" s="473">
        <f>($AA$61*$Y$62^2)/($Y$64^2)</f>
        <v>0.35675053234567894</v>
      </c>
      <c r="AB66" s="474"/>
    </row>
    <row r="67" spans="1:28" x14ac:dyDescent="0.25">
      <c r="C67" s="15"/>
      <c r="D67" s="15"/>
      <c r="E67" s="431" t="s">
        <v>164</v>
      </c>
      <c r="F67" s="432"/>
      <c r="H67" s="46" t="s">
        <v>170</v>
      </c>
      <c r="I67" s="46" t="s">
        <v>171</v>
      </c>
      <c r="J67" s="57" t="s">
        <v>181</v>
      </c>
      <c r="L67" s="416" t="s">
        <v>307</v>
      </c>
      <c r="M67" s="417"/>
      <c r="N67" s="417"/>
      <c r="O67" s="417"/>
      <c r="P67" s="418"/>
    </row>
    <row r="68" spans="1:28" x14ac:dyDescent="0.25">
      <c r="C68" s="45" t="s">
        <v>165</v>
      </c>
      <c r="D68" s="45"/>
      <c r="E68" s="439" t="s">
        <v>162</v>
      </c>
      <c r="F68" s="440"/>
      <c r="G68" s="45" t="s">
        <v>164</v>
      </c>
      <c r="H68" s="69">
        <f>F73</f>
        <v>32.232233280000003</v>
      </c>
      <c r="I68" s="69">
        <f>H68*K28</f>
        <v>320.46188829507844</v>
      </c>
      <c r="J68" s="69">
        <f>H68*N28</f>
        <v>185.51584186636799</v>
      </c>
      <c r="L68" s="421"/>
      <c r="M68" s="422"/>
      <c r="N68" s="220" t="s">
        <v>61</v>
      </c>
      <c r="O68" s="419" t="s">
        <v>62</v>
      </c>
      <c r="P68" s="420"/>
    </row>
    <row r="69" spans="1:28" x14ac:dyDescent="0.25">
      <c r="B69" s="45" t="s">
        <v>71</v>
      </c>
      <c r="C69" s="49">
        <f>2.58*$E$44</f>
        <v>2.58</v>
      </c>
      <c r="D69" s="49"/>
      <c r="E69" s="68" t="s">
        <v>159</v>
      </c>
      <c r="F69" s="76">
        <f>($C$69*1)*($C$70*1)</f>
        <v>5.7018000000000004</v>
      </c>
      <c r="G69" s="45" t="s">
        <v>71</v>
      </c>
      <c r="H69" s="48">
        <f>2.58*$E$44</f>
        <v>2.58</v>
      </c>
      <c r="I69" s="69">
        <f>K30*H69</f>
        <v>12.426570000000002</v>
      </c>
      <c r="J69" s="69">
        <f>N30*H69</f>
        <v>9.5589000000000013</v>
      </c>
      <c r="L69" s="419" t="s">
        <v>57</v>
      </c>
      <c r="M69" s="420"/>
      <c r="N69" s="10">
        <f>I41*(N71^2)/10</f>
        <v>98.630817344999997</v>
      </c>
      <c r="O69" s="64"/>
      <c r="P69" s="82">
        <f>L41*(N71^2)/10</f>
        <v>66.431230650000003</v>
      </c>
    </row>
    <row r="70" spans="1:28" x14ac:dyDescent="0.25">
      <c r="B70" s="45" t="s">
        <v>72</v>
      </c>
      <c r="C70" s="49">
        <f>2.21*$E$44</f>
        <v>2.21</v>
      </c>
      <c r="D70" s="49"/>
      <c r="E70" s="68" t="s">
        <v>98</v>
      </c>
      <c r="F70" s="76">
        <f>($C$69*1)*($C$71*1.2)</f>
        <v>8.6935679999999991</v>
      </c>
      <c r="G70" s="45" t="s">
        <v>72</v>
      </c>
      <c r="H70" s="48">
        <f>2.21*$E$44</f>
        <v>2.21</v>
      </c>
      <c r="I70" s="69">
        <f>H70*K31</f>
        <v>4.9128300000000005</v>
      </c>
      <c r="J70" s="69">
        <f>N31*H70</f>
        <v>3.7791000000000006</v>
      </c>
      <c r="L70" s="419" t="s">
        <v>56</v>
      </c>
      <c r="M70" s="420"/>
      <c r="N70" s="221">
        <v>0.02</v>
      </c>
      <c r="O70" s="222"/>
      <c r="P70" s="223"/>
    </row>
    <row r="71" spans="1:28" x14ac:dyDescent="0.25">
      <c r="B71" s="45" t="s">
        <v>73</v>
      </c>
      <c r="C71" s="49">
        <f>2.34*1.2</f>
        <v>2.8079999999999998</v>
      </c>
      <c r="D71" s="49"/>
      <c r="E71" s="68" t="s">
        <v>160</v>
      </c>
      <c r="F71" s="76">
        <f>($C$70*1)*($C$72*1.2)</f>
        <v>7.0649280000000001</v>
      </c>
      <c r="G71" s="45" t="s">
        <v>73</v>
      </c>
      <c r="H71" s="48">
        <f>2.34*1.2</f>
        <v>2.8079999999999998</v>
      </c>
      <c r="I71" s="69">
        <f>H71*K31</f>
        <v>6.2421840000000008</v>
      </c>
      <c r="J71" s="69">
        <f>H71*N31</f>
        <v>4.8016800000000002</v>
      </c>
      <c r="L71" s="419" t="s">
        <v>64</v>
      </c>
      <c r="M71" s="420"/>
      <c r="N71" s="221">
        <v>5.0999999999999996</v>
      </c>
      <c r="O71" s="224"/>
      <c r="P71" s="225"/>
    </row>
    <row r="72" spans="1:28" x14ac:dyDescent="0.25">
      <c r="B72" s="45" t="s">
        <v>74</v>
      </c>
      <c r="C72" s="49">
        <f>2.22*1.2</f>
        <v>2.6640000000000001</v>
      </c>
      <c r="D72" s="49"/>
      <c r="E72" s="68" t="s">
        <v>161</v>
      </c>
      <c r="F72" s="76">
        <f>($C$72*1.2)*($C$71*1.2)</f>
        <v>10.77193728</v>
      </c>
      <c r="G72" s="45" t="s">
        <v>74</v>
      </c>
      <c r="H72" s="48">
        <f>2.22*1.2</f>
        <v>2.6640000000000001</v>
      </c>
      <c r="I72" s="69">
        <f>H72*K30</f>
        <v>12.831156000000002</v>
      </c>
      <c r="J72" s="69">
        <f>H72*N30</f>
        <v>9.87012</v>
      </c>
      <c r="L72" s="419" t="s">
        <v>58</v>
      </c>
      <c r="M72" s="420"/>
      <c r="N72" s="221">
        <f>$P$12-$E$61</f>
        <v>0.26</v>
      </c>
      <c r="O72" s="224"/>
      <c r="P72" s="225"/>
    </row>
    <row r="73" spans="1:28" x14ac:dyDescent="0.25">
      <c r="A73" s="429"/>
      <c r="B73" s="430"/>
      <c r="C73" s="13"/>
      <c r="D73" s="13"/>
      <c r="E73" s="79" t="s">
        <v>163</v>
      </c>
      <c r="F73" s="76">
        <f>SUM(F69:F72)</f>
        <v>32.232233280000003</v>
      </c>
      <c r="G73" s="45" t="s">
        <v>163</v>
      </c>
      <c r="H73" s="48"/>
      <c r="I73" s="10">
        <f>SUM(I68:I72)</f>
        <v>356.87462829507848</v>
      </c>
      <c r="J73" s="10">
        <f>SUM(J68:J72)</f>
        <v>213.52564186636801</v>
      </c>
      <c r="L73" s="419" t="s">
        <v>59</v>
      </c>
      <c r="M73" s="420"/>
      <c r="N73" s="221">
        <v>0.04</v>
      </c>
      <c r="O73" s="226"/>
      <c r="P73" s="227"/>
    </row>
    <row r="74" spans="1:28" x14ac:dyDescent="0.25">
      <c r="C74" s="13"/>
      <c r="D74" s="13"/>
      <c r="E74" s="80"/>
      <c r="F74" s="81"/>
      <c r="G74" s="61" t="s">
        <v>175</v>
      </c>
      <c r="H74" s="64"/>
      <c r="I74" s="82">
        <f>I73+K34</f>
        <v>374.61962829507848</v>
      </c>
      <c r="J74" s="63">
        <f>J73+N34</f>
        <v>227.17564186636801</v>
      </c>
      <c r="K74" s="12"/>
      <c r="L74" s="419" t="s">
        <v>60</v>
      </c>
      <c r="M74" s="420"/>
      <c r="N74" s="10">
        <f>(N69*$E$58^2)/($E$60^2)</f>
        <v>0.58361430381656798</v>
      </c>
      <c r="O74" s="228"/>
      <c r="P74" s="229">
        <f>(P69*$E$58^2)/($E$60^2)</f>
        <v>0.3930842050295858</v>
      </c>
    </row>
    <row r="75" spans="1:28" x14ac:dyDescent="0.25">
      <c r="C75" s="70"/>
      <c r="D75" s="70"/>
      <c r="E75" s="70"/>
      <c r="F75" s="83"/>
      <c r="G75" s="71"/>
      <c r="H75" s="71"/>
      <c r="I75" s="78"/>
      <c r="J75" s="78"/>
      <c r="K75" s="13"/>
      <c r="L75" s="13"/>
      <c r="M75" s="13"/>
      <c r="N75" s="13"/>
    </row>
    <row r="76" spans="1:28" x14ac:dyDescent="0.25">
      <c r="C76" s="70"/>
      <c r="D76" s="70"/>
      <c r="E76" s="70"/>
      <c r="F76" s="70"/>
      <c r="G76" s="433"/>
      <c r="H76" s="433"/>
      <c r="I76" s="436"/>
      <c r="J76" s="436"/>
    </row>
    <row r="77" spans="1:28" x14ac:dyDescent="0.25">
      <c r="B77" s="434" t="s">
        <v>167</v>
      </c>
      <c r="C77" s="435"/>
      <c r="F77" s="70"/>
      <c r="G77" s="433"/>
      <c r="H77" s="433"/>
      <c r="I77" s="436"/>
      <c r="J77" s="436"/>
    </row>
    <row r="78" spans="1:28" x14ac:dyDescent="0.25">
      <c r="D78" s="70"/>
      <c r="E78" s="70"/>
      <c r="F78" s="70"/>
      <c r="G78" s="433"/>
      <c r="H78" s="433"/>
      <c r="I78" s="436"/>
      <c r="J78" s="436"/>
    </row>
    <row r="79" spans="1:28" x14ac:dyDescent="0.25">
      <c r="B79" s="437" t="s">
        <v>174</v>
      </c>
      <c r="C79" s="438"/>
      <c r="D79" s="438"/>
      <c r="E79" s="71"/>
      <c r="F79" s="427" t="s">
        <v>192</v>
      </c>
      <c r="G79" s="428"/>
      <c r="H79" s="428"/>
    </row>
    <row r="80" spans="1:28" x14ac:dyDescent="0.25">
      <c r="A80" s="44"/>
      <c r="B80" s="37" t="s">
        <v>170</v>
      </c>
      <c r="C80" s="37" t="s">
        <v>171</v>
      </c>
      <c r="D80" s="37" t="s">
        <v>172</v>
      </c>
      <c r="E80" s="71"/>
      <c r="F80" s="87" t="s">
        <v>170</v>
      </c>
      <c r="G80" s="87" t="s">
        <v>171</v>
      </c>
      <c r="H80" s="87" t="s">
        <v>172</v>
      </c>
    </row>
    <row r="81" spans="1:8" x14ac:dyDescent="0.25">
      <c r="A81" s="38" t="s">
        <v>164</v>
      </c>
      <c r="B81" s="10">
        <f>(2.1/2)*1.2*(4.84/2)*1.2</f>
        <v>3.6590399999999996</v>
      </c>
      <c r="C81" s="10">
        <f>B81*K28</f>
        <v>36.379200211200001</v>
      </c>
      <c r="D81" s="10">
        <f>B81*N28</f>
        <v>21.059970623999995</v>
      </c>
      <c r="E81" s="45" t="s">
        <v>164</v>
      </c>
      <c r="F81" s="48">
        <f>(5.18/2)*(4.2/2)</f>
        <v>5.4390000000000001</v>
      </c>
      <c r="G81" s="10">
        <f>F81*K37</f>
        <v>30.735789</v>
      </c>
      <c r="H81" s="10">
        <f>F81*N37</f>
        <v>20.505029999999998</v>
      </c>
    </row>
    <row r="82" spans="1:8" x14ac:dyDescent="0.25">
      <c r="A82" s="38" t="s">
        <v>168</v>
      </c>
      <c r="B82" s="10">
        <f>(4.84/2)*1.2</f>
        <v>2.9039999999999999</v>
      </c>
      <c r="C82" s="10">
        <f>B82*K30</f>
        <v>13.987116</v>
      </c>
      <c r="D82" s="10">
        <f>B82*N30</f>
        <v>10.759320000000001</v>
      </c>
      <c r="E82" s="45" t="s">
        <v>193</v>
      </c>
      <c r="F82" s="48">
        <f>5.18/2</f>
        <v>2.59</v>
      </c>
      <c r="G82" s="10">
        <f>K31*K31</f>
        <v>4.9417290000000014</v>
      </c>
      <c r="H82" s="10">
        <f>F82*N31</f>
        <v>4.4289000000000005</v>
      </c>
    </row>
    <row r="83" spans="1:8" x14ac:dyDescent="0.25">
      <c r="A83" s="38" t="s">
        <v>169</v>
      </c>
      <c r="B83" s="10">
        <f>(2.1/2)*1.2</f>
        <v>1.26</v>
      </c>
      <c r="C83" s="10">
        <f>B83*K31</f>
        <v>2.8009800000000005</v>
      </c>
      <c r="D83" s="10">
        <f>B83*N31</f>
        <v>2.1546000000000003</v>
      </c>
      <c r="E83" s="45" t="s">
        <v>194</v>
      </c>
      <c r="F83" s="48">
        <f>4.2/2</f>
        <v>2.1</v>
      </c>
      <c r="G83" s="10">
        <f>F83*K31</f>
        <v>4.6683000000000012</v>
      </c>
      <c r="H83" s="10">
        <f>F83*N31</f>
        <v>3.5910000000000006</v>
      </c>
    </row>
    <row r="84" spans="1:8" x14ac:dyDescent="0.25">
      <c r="A84" s="38" t="s">
        <v>163</v>
      </c>
      <c r="B84" s="10"/>
      <c r="C84" s="10">
        <f>SUM(C81:C83)</f>
        <v>53.167296211200004</v>
      </c>
      <c r="D84" s="10">
        <f>SUM(D81:D83)</f>
        <v>33.973890623999999</v>
      </c>
      <c r="E84" s="45" t="s">
        <v>163</v>
      </c>
      <c r="F84" s="48"/>
      <c r="G84" s="10">
        <f>SUM(G81:G83)</f>
        <v>40.345818000000001</v>
      </c>
      <c r="H84" s="10">
        <f>SUM(H81:H83)</f>
        <v>28.524929999999998</v>
      </c>
    </row>
    <row r="85" spans="1:8" x14ac:dyDescent="0.25">
      <c r="A85" s="72" t="s">
        <v>175</v>
      </c>
      <c r="B85" s="1"/>
      <c r="C85" s="10">
        <f>C84+K34</f>
        <v>70.912296211200001</v>
      </c>
      <c r="D85" s="10">
        <f>D84+N34</f>
        <v>47.623890623999998</v>
      </c>
      <c r="E85" s="45" t="s">
        <v>175</v>
      </c>
      <c r="F85" s="48"/>
      <c r="G85" s="10">
        <f>G84+K35</f>
        <v>58.090817999999999</v>
      </c>
      <c r="H85" s="10">
        <f>H84+N35</f>
        <v>42.174929999999996</v>
      </c>
    </row>
    <row r="87" spans="1:8" x14ac:dyDescent="0.25">
      <c r="B87" s="101" t="s">
        <v>177</v>
      </c>
      <c r="C87" s="101"/>
      <c r="D87" s="101" t="s">
        <v>179</v>
      </c>
      <c r="E87" s="101"/>
    </row>
    <row r="88" spans="1:8" x14ac:dyDescent="0.25">
      <c r="A88" s="38" t="s">
        <v>176</v>
      </c>
      <c r="B88" s="92" t="s">
        <v>178</v>
      </c>
      <c r="C88" s="92" t="s">
        <v>173</v>
      </c>
      <c r="D88" s="92" t="s">
        <v>178</v>
      </c>
      <c r="E88" s="92" t="s">
        <v>173</v>
      </c>
    </row>
    <row r="89" spans="1:8" x14ac:dyDescent="0.25">
      <c r="A89" s="44">
        <v>6</v>
      </c>
      <c r="B89" s="65">
        <f>I74</f>
        <v>374.61962829507848</v>
      </c>
      <c r="C89" s="65">
        <f>C85</f>
        <v>70.912296211200001</v>
      </c>
      <c r="D89" s="74">
        <f>J74</f>
        <v>227.17564186636801</v>
      </c>
      <c r="E89" s="73">
        <f>D85</f>
        <v>47.623890623999998</v>
      </c>
    </row>
    <row r="90" spans="1:8" x14ac:dyDescent="0.25">
      <c r="A90" s="44">
        <v>5</v>
      </c>
      <c r="B90" s="65">
        <f>B89*2</f>
        <v>749.23925659015697</v>
      </c>
      <c r="C90" s="65">
        <f>C89*2</f>
        <v>141.8245924224</v>
      </c>
      <c r="D90" s="65">
        <f>D89*2</f>
        <v>454.35128373273602</v>
      </c>
      <c r="E90" s="65">
        <f>E89*2</f>
        <v>95.247781247999995</v>
      </c>
    </row>
    <row r="91" spans="1:8" x14ac:dyDescent="0.25">
      <c r="A91" s="44">
        <v>4</v>
      </c>
      <c r="B91" s="65">
        <f>B89*3</f>
        <v>1123.8588848852355</v>
      </c>
      <c r="C91" s="65">
        <f>C89*3</f>
        <v>212.73688863360002</v>
      </c>
      <c r="D91" s="65">
        <f>D89*3</f>
        <v>681.52692559910406</v>
      </c>
      <c r="E91" s="65">
        <f>E89*3</f>
        <v>142.87167187199998</v>
      </c>
    </row>
    <row r="92" spans="1:8" x14ac:dyDescent="0.25">
      <c r="A92" s="44">
        <v>3</v>
      </c>
      <c r="B92" s="65">
        <f>B89*4</f>
        <v>1498.4785131803139</v>
      </c>
      <c r="C92" s="65">
        <f>C89*4</f>
        <v>283.6491848448</v>
      </c>
      <c r="D92" s="65">
        <f>D89*4</f>
        <v>908.70256746547204</v>
      </c>
      <c r="E92" s="65">
        <f>E89*4</f>
        <v>190.49556249599999</v>
      </c>
    </row>
    <row r="93" spans="1:8" x14ac:dyDescent="0.25">
      <c r="A93" s="44">
        <v>2</v>
      </c>
      <c r="B93" s="65">
        <f>B89*5</f>
        <v>1873.0981414753924</v>
      </c>
      <c r="C93" s="65">
        <f>C89*5</f>
        <v>354.56148105599999</v>
      </c>
      <c r="D93" s="65">
        <f>D89*5</f>
        <v>1135.87820933184</v>
      </c>
      <c r="E93" s="65">
        <f>E89*5</f>
        <v>238.11945312</v>
      </c>
    </row>
    <row r="94" spans="1:8" x14ac:dyDescent="0.25">
      <c r="A94" s="44">
        <v>1</v>
      </c>
      <c r="B94" s="65">
        <f>B89*6</f>
        <v>2247.717769770471</v>
      </c>
      <c r="C94" s="65">
        <f>C89*6</f>
        <v>425.47377726720003</v>
      </c>
      <c r="D94" s="65">
        <f>D89*6</f>
        <v>1363.0538511982081</v>
      </c>
      <c r="E94" s="65">
        <f>E89*6</f>
        <v>285.74334374399996</v>
      </c>
    </row>
  </sheetData>
  <mergeCells count="242">
    <mergeCell ref="W62:X62"/>
    <mergeCell ref="E56:F56"/>
    <mergeCell ref="W61:X61"/>
    <mergeCell ref="AA66:AB66"/>
    <mergeCell ref="Y61:Z61"/>
    <mergeCell ref="Y66:Z66"/>
    <mergeCell ref="Y59:AB59"/>
    <mergeCell ref="Y60:Z60"/>
    <mergeCell ref="AA60:AB60"/>
    <mergeCell ref="W64:X64"/>
    <mergeCell ref="W65:X65"/>
    <mergeCell ref="W66:X66"/>
    <mergeCell ref="Q56:S56"/>
    <mergeCell ref="Y64:AB64"/>
    <mergeCell ref="Y65:AB65"/>
    <mergeCell ref="Y62:AB62"/>
    <mergeCell ref="Y63:AB63"/>
    <mergeCell ref="W63:X63"/>
    <mergeCell ref="AA61:AB61"/>
    <mergeCell ref="U25:W25"/>
    <mergeCell ref="AD23:AF23"/>
    <mergeCell ref="G56:H56"/>
    <mergeCell ref="E55:H55"/>
    <mergeCell ref="L55:O55"/>
    <mergeCell ref="L56:M56"/>
    <mergeCell ref="N56:O56"/>
    <mergeCell ref="J57:K57"/>
    <mergeCell ref="L57:M57"/>
    <mergeCell ref="N57:O57"/>
    <mergeCell ref="P42:T42"/>
    <mergeCell ref="R43:T43"/>
    <mergeCell ref="S44:T44"/>
    <mergeCell ref="Q52:V52"/>
    <mergeCell ref="Q54:V54"/>
    <mergeCell ref="Q46:X46"/>
    <mergeCell ref="Z46:AG46"/>
    <mergeCell ref="Z47:AC47"/>
    <mergeCell ref="M43:O43"/>
    <mergeCell ref="P24:Q24"/>
    <mergeCell ref="R24:T24"/>
    <mergeCell ref="U24:W24"/>
    <mergeCell ref="Z51:AB51"/>
    <mergeCell ref="Z52:AE52"/>
    <mergeCell ref="Y12:AD12"/>
    <mergeCell ref="AE12:AF12"/>
    <mergeCell ref="AA19:AC19"/>
    <mergeCell ref="AD19:AF19"/>
    <mergeCell ref="D23:H23"/>
    <mergeCell ref="I23:K23"/>
    <mergeCell ref="C29:D29"/>
    <mergeCell ref="I21:K21"/>
    <mergeCell ref="D22:E22"/>
    <mergeCell ref="F22:H22"/>
    <mergeCell ref="I22:K22"/>
    <mergeCell ref="D19:E19"/>
    <mergeCell ref="F19:H19"/>
    <mergeCell ref="I19:K19"/>
    <mergeCell ref="M24:O24"/>
    <mergeCell ref="M25:O25"/>
    <mergeCell ref="D21:E21"/>
    <mergeCell ref="F21:H21"/>
    <mergeCell ref="L26:N26"/>
    <mergeCell ref="M19:W19"/>
    <mergeCell ref="M20:O20"/>
    <mergeCell ref="P20:Q20"/>
    <mergeCell ref="P25:Q25"/>
    <mergeCell ref="R25:T25"/>
    <mergeCell ref="Y5:Z5"/>
    <mergeCell ref="AA5:AC5"/>
    <mergeCell ref="AD5:AF5"/>
    <mergeCell ref="Y6:AF6"/>
    <mergeCell ref="Y9:AF9"/>
    <mergeCell ref="AB10:AD10"/>
    <mergeCell ref="AE10:AF10"/>
    <mergeCell ref="M10:W10"/>
    <mergeCell ref="M11:O11"/>
    <mergeCell ref="R11:T11"/>
    <mergeCell ref="U11:W11"/>
    <mergeCell ref="O7:P7"/>
    <mergeCell ref="M5:W5"/>
    <mergeCell ref="U6:W6"/>
    <mergeCell ref="Q6:T6"/>
    <mergeCell ref="O6:P6"/>
    <mergeCell ref="M6:N6"/>
    <mergeCell ref="AB11:AD11"/>
    <mergeCell ref="AE11:AF11"/>
    <mergeCell ref="U8:W8"/>
    <mergeCell ref="Y15:Z15"/>
    <mergeCell ref="AA15:AC15"/>
    <mergeCell ref="AD15:AF15"/>
    <mergeCell ref="Y16:Z16"/>
    <mergeCell ref="AA16:AC16"/>
    <mergeCell ref="AD16:AF16"/>
    <mergeCell ref="Y13:AF13"/>
    <mergeCell ref="Y14:AF14"/>
    <mergeCell ref="M23:W23"/>
    <mergeCell ref="AD18:AF18"/>
    <mergeCell ref="Y19:Z19"/>
    <mergeCell ref="U13:W13"/>
    <mergeCell ref="M15:W15"/>
    <mergeCell ref="M16:O16"/>
    <mergeCell ref="R16:T16"/>
    <mergeCell ref="U16:W16"/>
    <mergeCell ref="P16:Q16"/>
    <mergeCell ref="U21:W21"/>
    <mergeCell ref="M17:O17"/>
    <mergeCell ref="P17:Q17"/>
    <mergeCell ref="R17:T17"/>
    <mergeCell ref="M13:T13"/>
    <mergeCell ref="Y23:AC23"/>
    <mergeCell ref="Y21:Z21"/>
    <mergeCell ref="A17:C17"/>
    <mergeCell ref="A20:B20"/>
    <mergeCell ref="D18:E18"/>
    <mergeCell ref="F18:H18"/>
    <mergeCell ref="I18:K18"/>
    <mergeCell ref="Y1:AF1"/>
    <mergeCell ref="Y2:AF2"/>
    <mergeCell ref="Y3:AF3"/>
    <mergeCell ref="Y4:Z4"/>
    <mergeCell ref="AA4:AC4"/>
    <mergeCell ref="AD4:AF4"/>
    <mergeCell ref="M1:W1"/>
    <mergeCell ref="Q4:R4"/>
    <mergeCell ref="S4:T4"/>
    <mergeCell ref="U4:W4"/>
    <mergeCell ref="Q2:R3"/>
    <mergeCell ref="S2:T3"/>
    <mergeCell ref="U2:W3"/>
    <mergeCell ref="O2:P2"/>
    <mergeCell ref="O3:P3"/>
    <mergeCell ref="O4:P4"/>
    <mergeCell ref="M2:N2"/>
    <mergeCell ref="M3:N3"/>
    <mergeCell ref="M4:N4"/>
    <mergeCell ref="C57:D57"/>
    <mergeCell ref="G11:I11"/>
    <mergeCell ref="J11:K11"/>
    <mergeCell ref="J10:K10"/>
    <mergeCell ref="D13:K13"/>
    <mergeCell ref="D14:K14"/>
    <mergeCell ref="D15:E15"/>
    <mergeCell ref="F15:H15"/>
    <mergeCell ref="I15:K15"/>
    <mergeCell ref="G10:I10"/>
    <mergeCell ref="E26:K26"/>
    <mergeCell ref="J53:O53"/>
    <mergeCell ref="C28:D28"/>
    <mergeCell ref="M12:O12"/>
    <mergeCell ref="M21:O21"/>
    <mergeCell ref="D12:I12"/>
    <mergeCell ref="J12:K12"/>
    <mergeCell ref="D20:K20"/>
    <mergeCell ref="D16:E16"/>
    <mergeCell ref="F16:H16"/>
    <mergeCell ref="I16:K16"/>
    <mergeCell ref="D17:K17"/>
    <mergeCell ref="A13:C13"/>
    <mergeCell ref="A14:C14"/>
    <mergeCell ref="D1:K1"/>
    <mergeCell ref="D2:K2"/>
    <mergeCell ref="D3:K3"/>
    <mergeCell ref="D6:K6"/>
    <mergeCell ref="I4:K4"/>
    <mergeCell ref="I5:K5"/>
    <mergeCell ref="F4:H4"/>
    <mergeCell ref="F5:H5"/>
    <mergeCell ref="D4:E4"/>
    <mergeCell ref="D5:E5"/>
    <mergeCell ref="D9:K9"/>
    <mergeCell ref="R12:T12"/>
    <mergeCell ref="U12:W12"/>
    <mergeCell ref="M7:N7"/>
    <mergeCell ref="P21:Q21"/>
    <mergeCell ref="Q7:T7"/>
    <mergeCell ref="R21:T21"/>
    <mergeCell ref="U7:W7"/>
    <mergeCell ref="M8:T8"/>
    <mergeCell ref="U17:W17"/>
    <mergeCell ref="R20:T20"/>
    <mergeCell ref="U20:W20"/>
    <mergeCell ref="AA21:AC21"/>
    <mergeCell ref="AD21:AF21"/>
    <mergeCell ref="Y22:Z22"/>
    <mergeCell ref="AA22:AC22"/>
    <mergeCell ref="AD22:AF22"/>
    <mergeCell ref="Y17:AF17"/>
    <mergeCell ref="Y20:AF20"/>
    <mergeCell ref="Y18:Z18"/>
    <mergeCell ref="AA18:AC18"/>
    <mergeCell ref="C34:D34"/>
    <mergeCell ref="M45:O45"/>
    <mergeCell ref="E42:O42"/>
    <mergeCell ref="Z48:AB48"/>
    <mergeCell ref="Z49:AB49"/>
    <mergeCell ref="Z50:AB50"/>
    <mergeCell ref="AD47:AE47"/>
    <mergeCell ref="AF47:AG47"/>
    <mergeCell ref="E39:L39"/>
    <mergeCell ref="M44:O44"/>
    <mergeCell ref="Z54:AE54"/>
    <mergeCell ref="Z56:AB56"/>
    <mergeCell ref="Q51:S51"/>
    <mergeCell ref="Q50:S50"/>
    <mergeCell ref="Q49:S49"/>
    <mergeCell ref="Q48:S48"/>
    <mergeCell ref="W47:X47"/>
    <mergeCell ref="U47:V47"/>
    <mergeCell ref="Q47:T47"/>
    <mergeCell ref="C30:D30"/>
    <mergeCell ref="C31:D31"/>
    <mergeCell ref="C35:D35"/>
    <mergeCell ref="C36:D36"/>
    <mergeCell ref="I44:J44"/>
    <mergeCell ref="C37:D37"/>
    <mergeCell ref="F79:H79"/>
    <mergeCell ref="A73:B73"/>
    <mergeCell ref="E67:F67"/>
    <mergeCell ref="G77:H77"/>
    <mergeCell ref="G76:H76"/>
    <mergeCell ref="B77:C77"/>
    <mergeCell ref="I77:J77"/>
    <mergeCell ref="B79:D79"/>
    <mergeCell ref="I76:J76"/>
    <mergeCell ref="I78:J78"/>
    <mergeCell ref="G78:H78"/>
    <mergeCell ref="E68:F68"/>
    <mergeCell ref="C66:H66"/>
    <mergeCell ref="I43:J43"/>
    <mergeCell ref="C53:H53"/>
    <mergeCell ref="D64:E64"/>
    <mergeCell ref="C32:D32"/>
    <mergeCell ref="C33:D33"/>
    <mergeCell ref="L67:P67"/>
    <mergeCell ref="L70:M70"/>
    <mergeCell ref="L71:M71"/>
    <mergeCell ref="L72:M72"/>
    <mergeCell ref="L73:M73"/>
    <mergeCell ref="L74:M74"/>
    <mergeCell ref="L68:M68"/>
    <mergeCell ref="O68:P68"/>
    <mergeCell ref="L69:M69"/>
  </mergeCells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workbookViewId="0">
      <selection activeCell="F14" sqref="F14"/>
    </sheetView>
  </sheetViews>
  <sheetFormatPr defaultRowHeight="15" x14ac:dyDescent="0.25"/>
  <cols>
    <col min="1" max="1" width="18.7109375" customWidth="1"/>
    <col min="2" max="2" width="15" customWidth="1"/>
    <col min="3" max="3" width="14.28515625" customWidth="1"/>
    <col min="4" max="4" width="15.85546875" customWidth="1"/>
    <col min="7" max="7" width="13.42578125" customWidth="1"/>
    <col min="11" max="11" width="10" customWidth="1"/>
    <col min="13" max="13" width="13.42578125" customWidth="1"/>
  </cols>
  <sheetData>
    <row r="1" spans="1:18" x14ac:dyDescent="0.25">
      <c r="A1" s="15"/>
      <c r="B1" s="15" t="s">
        <v>236</v>
      </c>
      <c r="I1" s="245" t="s">
        <v>217</v>
      </c>
      <c r="J1" s="501" t="s">
        <v>255</v>
      </c>
      <c r="K1" s="502"/>
    </row>
    <row r="2" spans="1:18" x14ac:dyDescent="0.25">
      <c r="A2" s="15" t="s">
        <v>195</v>
      </c>
      <c r="B2" s="15">
        <f>'masse e forze'!B2</f>
        <v>39.6</v>
      </c>
      <c r="I2" s="22">
        <v>6</v>
      </c>
      <c r="J2" s="25">
        <f>rigidezze!C49</f>
        <v>15.381713456439426</v>
      </c>
      <c r="K2" s="248"/>
    </row>
    <row r="3" spans="1:18" x14ac:dyDescent="0.25">
      <c r="A3" s="15" t="s">
        <v>196</v>
      </c>
      <c r="B3" s="15">
        <f>'masse e forze'!B3</f>
        <v>346.05</v>
      </c>
      <c r="I3" s="22" t="s">
        <v>287</v>
      </c>
      <c r="J3" s="25">
        <f>rigidezze!C50</f>
        <v>15.280291581189713</v>
      </c>
      <c r="K3" s="248"/>
    </row>
    <row r="4" spans="1:18" x14ac:dyDescent="0.25">
      <c r="A4" s="15" t="s">
        <v>197</v>
      </c>
      <c r="B4" s="15">
        <f>'masse e forze'!B4</f>
        <v>312.8</v>
      </c>
      <c r="I4" s="22" t="s">
        <v>288</v>
      </c>
      <c r="J4" s="25">
        <f>rigidezze!C51</f>
        <v>14.866045217207526</v>
      </c>
      <c r="K4" s="248"/>
    </row>
    <row r="5" spans="1:18" x14ac:dyDescent="0.25">
      <c r="A5" s="15" t="s">
        <v>198</v>
      </c>
      <c r="B5" s="15">
        <f>'masse e forze'!B5</f>
        <v>312.8</v>
      </c>
      <c r="I5" s="249">
        <v>1</v>
      </c>
      <c r="J5" s="25">
        <f>rigidezze!C52</f>
        <v>14.446536987738584</v>
      </c>
      <c r="K5" s="251"/>
    </row>
    <row r="7" spans="1:18" x14ac:dyDescent="0.25">
      <c r="A7" t="s">
        <v>199</v>
      </c>
      <c r="E7" t="s">
        <v>237</v>
      </c>
      <c r="F7">
        <f>B2+B3</f>
        <v>385.65000000000003</v>
      </c>
    </row>
    <row r="9" spans="1:18" x14ac:dyDescent="0.25">
      <c r="A9" s="237" t="s">
        <v>78</v>
      </c>
      <c r="B9" s="237" t="s">
        <v>79</v>
      </c>
      <c r="C9" s="237" t="s">
        <v>80</v>
      </c>
      <c r="D9" s="237" t="s">
        <v>81</v>
      </c>
      <c r="E9" s="237" t="s">
        <v>82</v>
      </c>
      <c r="G9" s="237" t="s">
        <v>78</v>
      </c>
      <c r="H9" s="237" t="s">
        <v>88</v>
      </c>
      <c r="I9" s="237" t="s">
        <v>89</v>
      </c>
      <c r="J9" s="237" t="s">
        <v>90</v>
      </c>
      <c r="K9" s="237" t="s">
        <v>91</v>
      </c>
      <c r="M9" s="237" t="s">
        <v>78</v>
      </c>
      <c r="N9" s="237" t="s">
        <v>98</v>
      </c>
      <c r="O9" s="237" t="s">
        <v>97</v>
      </c>
      <c r="P9" s="267" t="s">
        <v>100</v>
      </c>
      <c r="Q9" s="267" t="s">
        <v>101</v>
      </c>
      <c r="R9" s="237" t="s">
        <v>102</v>
      </c>
    </row>
    <row r="10" spans="1:18" x14ac:dyDescent="0.25">
      <c r="A10" s="237" t="s">
        <v>200</v>
      </c>
      <c r="B10" s="237">
        <f>F7</f>
        <v>385.65000000000003</v>
      </c>
      <c r="C10" s="237">
        <v>9</v>
      </c>
      <c r="D10" s="237">
        <f>C10*B10</f>
        <v>3470.8500000000004</v>
      </c>
      <c r="E10" s="237">
        <f>D10/9.81</f>
        <v>353.8073394495413</v>
      </c>
      <c r="G10" s="237" t="s">
        <v>200</v>
      </c>
      <c r="H10" s="237">
        <f t="shared" ref="H10:H13" si="0">H11+$B$22</f>
        <v>19.7</v>
      </c>
      <c r="I10" s="237">
        <f>D10*H10</f>
        <v>68375.74500000001</v>
      </c>
      <c r="J10" s="237">
        <f>(I10/$I$16)*$B$23</f>
        <v>479.88441621938517</v>
      </c>
      <c r="K10" s="237">
        <f>J10</f>
        <v>479.88441621938517</v>
      </c>
      <c r="M10" s="237" t="s">
        <v>200</v>
      </c>
      <c r="N10" s="237">
        <f>$B$22</f>
        <v>3.2</v>
      </c>
      <c r="O10" s="138">
        <f>K10/J2</f>
        <v>31.19837185749196</v>
      </c>
      <c r="P10" s="10">
        <f>0.5*O10*N10</f>
        <v>49.917394971987136</v>
      </c>
      <c r="Q10" s="10">
        <f>P10/2</f>
        <v>24.958697485993568</v>
      </c>
      <c r="R10" s="138">
        <f>2*(Q10/B24)</f>
        <v>9.5994990330744496</v>
      </c>
    </row>
    <row r="11" spans="1:18" x14ac:dyDescent="0.25">
      <c r="A11" s="237">
        <v>5</v>
      </c>
      <c r="B11" s="237">
        <f>$B$4</f>
        <v>312.8</v>
      </c>
      <c r="C11" s="237">
        <v>10</v>
      </c>
      <c r="D11" s="237">
        <f t="shared" ref="D11:D15" si="1">C11*B11</f>
        <v>3128</v>
      </c>
      <c r="E11" s="237">
        <f t="shared" ref="E11:E15" si="2">D11/9.81</f>
        <v>318.8583078491335</v>
      </c>
      <c r="G11" s="237">
        <v>5</v>
      </c>
      <c r="H11" s="237">
        <f t="shared" si="0"/>
        <v>16.5</v>
      </c>
      <c r="I11" s="237">
        <f t="shared" ref="I11:I15" si="3">D11*H11</f>
        <v>51612</v>
      </c>
      <c r="J11" s="237">
        <f t="shared" ref="J11:J15" si="4">(I11/$I$16)*$B$23</f>
        <v>362.23070753985792</v>
      </c>
      <c r="K11" s="237">
        <f>K10+J11</f>
        <v>842.11512375924303</v>
      </c>
      <c r="M11" s="237">
        <v>5</v>
      </c>
      <c r="N11" s="237">
        <f t="shared" ref="N11:N14" si="5">$B$22</f>
        <v>3.2</v>
      </c>
      <c r="O11" s="138">
        <f>K11/J3</f>
        <v>55.111194657823177</v>
      </c>
      <c r="P11" s="10">
        <f t="shared" ref="P11:P14" si="6">0.5*O11*N11</f>
        <v>88.177911452517094</v>
      </c>
      <c r="Q11" s="10">
        <f>(P10+P11)/2</f>
        <v>69.047653212252115</v>
      </c>
      <c r="R11" s="138">
        <f>((Q10+Q11)/$B$24)*2</f>
        <v>36.156288730094495</v>
      </c>
    </row>
    <row r="12" spans="1:18" x14ac:dyDescent="0.25">
      <c r="A12" s="237">
        <v>4</v>
      </c>
      <c r="B12" s="237">
        <f t="shared" ref="B12:B14" si="7">$B$4</f>
        <v>312.8</v>
      </c>
      <c r="C12" s="237">
        <v>10</v>
      </c>
      <c r="D12" s="237">
        <f t="shared" si="1"/>
        <v>3128</v>
      </c>
      <c r="E12" s="237">
        <f t="shared" si="2"/>
        <v>318.8583078491335</v>
      </c>
      <c r="G12" s="237">
        <v>4</v>
      </c>
      <c r="H12" s="237">
        <f t="shared" si="0"/>
        <v>13.3</v>
      </c>
      <c r="I12" s="237">
        <f t="shared" si="3"/>
        <v>41602.400000000001</v>
      </c>
      <c r="J12" s="237">
        <f t="shared" si="4"/>
        <v>291.97990365333999</v>
      </c>
      <c r="K12" s="237">
        <f t="shared" ref="K12:K15" si="8">K11+J12</f>
        <v>1134.095027412583</v>
      </c>
      <c r="M12" s="237">
        <v>4</v>
      </c>
      <c r="N12" s="237">
        <f t="shared" si="5"/>
        <v>3.2</v>
      </c>
      <c r="O12" s="138">
        <f>K12/J3</f>
        <v>74.219462461611158</v>
      </c>
      <c r="P12" s="10">
        <f t="shared" si="6"/>
        <v>118.75113993857786</v>
      </c>
      <c r="Q12" s="10">
        <f t="shared" ref="Q12:Q15" si="9">(P11+P12)/2</f>
        <v>103.46452569554748</v>
      </c>
      <c r="R12" s="138">
        <f t="shared" ref="R12:R15" si="10">((Q11+Q12)/$B$24)*2</f>
        <v>66.350838041461373</v>
      </c>
    </row>
    <row r="13" spans="1:18" x14ac:dyDescent="0.25">
      <c r="A13" s="237">
        <v>3</v>
      </c>
      <c r="B13" s="237">
        <f t="shared" si="7"/>
        <v>312.8</v>
      </c>
      <c r="C13" s="237">
        <v>10</v>
      </c>
      <c r="D13" s="237">
        <f t="shared" si="1"/>
        <v>3128</v>
      </c>
      <c r="E13" s="237">
        <f t="shared" si="2"/>
        <v>318.8583078491335</v>
      </c>
      <c r="G13" s="237">
        <v>3</v>
      </c>
      <c r="H13" s="237">
        <f t="shared" si="0"/>
        <v>10.100000000000001</v>
      </c>
      <c r="I13" s="237">
        <f t="shared" si="3"/>
        <v>31592.800000000003</v>
      </c>
      <c r="J13" s="237">
        <f t="shared" si="4"/>
        <v>221.72909976682215</v>
      </c>
      <c r="K13" s="237">
        <f t="shared" si="8"/>
        <v>1355.8241271794052</v>
      </c>
      <c r="M13" s="237">
        <v>3</v>
      </c>
      <c r="N13" s="237">
        <f t="shared" si="5"/>
        <v>3.2</v>
      </c>
      <c r="O13" s="138">
        <f>K13/J4</f>
        <v>91.202744736039918</v>
      </c>
      <c r="P13" s="10">
        <f t="shared" si="6"/>
        <v>145.92439157766387</v>
      </c>
      <c r="Q13" s="10">
        <f t="shared" si="9"/>
        <v>132.33776575812087</v>
      </c>
      <c r="R13" s="138">
        <f t="shared" si="10"/>
        <v>90.693189020641668</v>
      </c>
    </row>
    <row r="14" spans="1:18" x14ac:dyDescent="0.25">
      <c r="A14" s="237">
        <v>2</v>
      </c>
      <c r="B14" s="237">
        <f t="shared" si="7"/>
        <v>312.8</v>
      </c>
      <c r="C14" s="237">
        <v>10</v>
      </c>
      <c r="D14" s="237">
        <f t="shared" si="1"/>
        <v>3128</v>
      </c>
      <c r="E14" s="237">
        <f t="shared" si="2"/>
        <v>318.8583078491335</v>
      </c>
      <c r="G14" s="237">
        <v>2</v>
      </c>
      <c r="H14" s="237">
        <f>H15+$B$22</f>
        <v>6.9</v>
      </c>
      <c r="I14" s="237">
        <f t="shared" si="3"/>
        <v>21583.200000000001</v>
      </c>
      <c r="J14" s="237">
        <f t="shared" si="4"/>
        <v>151.47829588030424</v>
      </c>
      <c r="K14" s="237">
        <f t="shared" si="8"/>
        <v>1507.3024230597093</v>
      </c>
      <c r="M14" s="237">
        <v>2</v>
      </c>
      <c r="N14" s="237">
        <f t="shared" si="5"/>
        <v>3.2</v>
      </c>
      <c r="O14" s="138">
        <f>K14/J4</f>
        <v>101.39229371608522</v>
      </c>
      <c r="P14" s="10">
        <f t="shared" si="6"/>
        <v>162.22766994573635</v>
      </c>
      <c r="Q14" s="10">
        <f t="shared" si="9"/>
        <v>154.07603076170011</v>
      </c>
      <c r="R14" s="138">
        <f t="shared" si="10"/>
        <v>110.15915250762343</v>
      </c>
    </row>
    <row r="15" spans="1:18" x14ac:dyDescent="0.25">
      <c r="A15" s="237">
        <v>1</v>
      </c>
      <c r="B15" s="237">
        <f>B5</f>
        <v>312.8</v>
      </c>
      <c r="C15" s="237">
        <v>10</v>
      </c>
      <c r="D15" s="237">
        <f t="shared" si="1"/>
        <v>3128</v>
      </c>
      <c r="E15" s="237">
        <f t="shared" si="2"/>
        <v>318.8583078491335</v>
      </c>
      <c r="G15" s="237">
        <v>1</v>
      </c>
      <c r="H15" s="237">
        <f>D22</f>
        <v>3.7</v>
      </c>
      <c r="I15" s="237">
        <f t="shared" si="3"/>
        <v>11573.6</v>
      </c>
      <c r="J15" s="237">
        <f t="shared" si="4"/>
        <v>81.227491993786316</v>
      </c>
      <c r="K15" s="237">
        <f t="shared" si="8"/>
        <v>1588.5299150534956</v>
      </c>
      <c r="M15" s="237" t="s">
        <v>201</v>
      </c>
      <c r="N15" s="237">
        <f>$B$22+0.5</f>
        <v>3.7</v>
      </c>
      <c r="O15" s="138">
        <f>K15/J5</f>
        <v>109.95921835120426</v>
      </c>
      <c r="P15" s="10">
        <f>O15*N15*0.4</f>
        <v>162.7396431597823</v>
      </c>
      <c r="Q15" s="10">
        <f t="shared" si="9"/>
        <v>162.48365655275933</v>
      </c>
      <c r="R15" s="138">
        <f t="shared" si="10"/>
        <v>121.7537258901767</v>
      </c>
    </row>
    <row r="16" spans="1:18" x14ac:dyDescent="0.25">
      <c r="A16" s="237" t="s">
        <v>83</v>
      </c>
      <c r="B16" s="237"/>
      <c r="C16" s="237"/>
      <c r="D16" s="237">
        <f>SUM(D10:D15)</f>
        <v>19110.849999999999</v>
      </c>
      <c r="E16" s="237">
        <f>SUM(E10:E15)</f>
        <v>1948.0988786952089</v>
      </c>
      <c r="G16" s="237" t="s">
        <v>83</v>
      </c>
      <c r="H16" s="237"/>
      <c r="I16" s="237">
        <f>SUM(I10:I15)</f>
        <v>226339.74500000002</v>
      </c>
      <c r="J16" s="237"/>
      <c r="K16" s="237"/>
      <c r="M16" s="237" t="s">
        <v>99</v>
      </c>
      <c r="N16" s="237"/>
      <c r="O16" s="138"/>
      <c r="P16" s="10">
        <f>0.6*N15*O15</f>
        <v>244.10946473967348</v>
      </c>
      <c r="Q16" s="10"/>
      <c r="R16" s="138"/>
    </row>
    <row r="19" spans="1:12" x14ac:dyDescent="0.25">
      <c r="A19" s="237" t="s">
        <v>84</v>
      </c>
      <c r="B19" s="237">
        <v>7.4999999999999997E-2</v>
      </c>
      <c r="G19" s="19" t="s">
        <v>107</v>
      </c>
      <c r="H19" s="20"/>
      <c r="I19" s="20"/>
      <c r="J19" s="20"/>
      <c r="K19" s="20"/>
      <c r="L19" s="21"/>
    </row>
    <row r="20" spans="1:12" x14ac:dyDescent="0.25">
      <c r="A20" s="237" t="s">
        <v>86</v>
      </c>
      <c r="B20" s="237">
        <f>(3.2*5)+3.7</f>
        <v>19.7</v>
      </c>
      <c r="C20" t="s">
        <v>96</v>
      </c>
      <c r="G20" s="231" t="s">
        <v>106</v>
      </c>
      <c r="H20" s="28"/>
      <c r="I20" s="28"/>
      <c r="J20" s="28"/>
      <c r="K20" s="28"/>
      <c r="L20" s="29"/>
    </row>
    <row r="21" spans="1:12" x14ac:dyDescent="0.25">
      <c r="A21" s="236" t="s">
        <v>85</v>
      </c>
      <c r="B21" s="236">
        <f>rigidezze!H45</f>
        <v>0.69167956685069887</v>
      </c>
      <c r="G21" s="237" t="s">
        <v>78</v>
      </c>
      <c r="H21" s="237" t="s">
        <v>91</v>
      </c>
      <c r="I21" s="237" t="s">
        <v>97</v>
      </c>
      <c r="J21" s="237" t="s">
        <v>100</v>
      </c>
      <c r="K21" s="237" t="s">
        <v>101</v>
      </c>
    </row>
    <row r="22" spans="1:12" x14ac:dyDescent="0.25">
      <c r="A22" s="237" t="s">
        <v>284</v>
      </c>
      <c r="B22" s="237">
        <v>3.2</v>
      </c>
      <c r="C22" s="237" t="s">
        <v>285</v>
      </c>
      <c r="D22" s="237">
        <f>3.7</f>
        <v>3.7</v>
      </c>
      <c r="G22" s="237" t="s">
        <v>200</v>
      </c>
      <c r="H22" s="237">
        <f>K10</f>
        <v>479.88441621938517</v>
      </c>
      <c r="I22" s="237">
        <f>1.2*O10</f>
        <v>37.438046228990352</v>
      </c>
      <c r="J22" s="237">
        <f>P10*1.2</f>
        <v>59.900873966384559</v>
      </c>
      <c r="K22" s="237">
        <f>Q10*1.2</f>
        <v>29.950436983192279</v>
      </c>
    </row>
    <row r="23" spans="1:12" x14ac:dyDescent="0.25">
      <c r="A23" s="237" t="s">
        <v>87</v>
      </c>
      <c r="B23" s="237">
        <f>0.85*D16*B28</f>
        <v>1588.5299150534959</v>
      </c>
      <c r="G23" s="237">
        <v>5</v>
      </c>
      <c r="H23" s="237">
        <f t="shared" ref="H23:H27" si="11">K11</f>
        <v>842.11512375924303</v>
      </c>
      <c r="I23" s="237">
        <f t="shared" ref="I23:I27" si="12">1.2*O11</f>
        <v>66.133433589387806</v>
      </c>
      <c r="J23" s="237">
        <f t="shared" ref="J23:K28" si="13">P11*1.2</f>
        <v>105.81349374302052</v>
      </c>
      <c r="K23" s="237">
        <f t="shared" si="13"/>
        <v>82.857183854702541</v>
      </c>
    </row>
    <row r="24" spans="1:12" x14ac:dyDescent="0.25">
      <c r="A24" s="237" t="s">
        <v>135</v>
      </c>
      <c r="B24" s="237">
        <v>5.2</v>
      </c>
      <c r="G24" s="237">
        <v>4</v>
      </c>
      <c r="H24" s="237">
        <f t="shared" si="11"/>
        <v>1134.095027412583</v>
      </c>
      <c r="I24" s="237">
        <f t="shared" si="12"/>
        <v>89.063354953933384</v>
      </c>
      <c r="J24" s="237">
        <f t="shared" si="13"/>
        <v>142.50136792629343</v>
      </c>
      <c r="K24" s="237">
        <f t="shared" si="13"/>
        <v>124.15743083465696</v>
      </c>
    </row>
    <row r="25" spans="1:12" x14ac:dyDescent="0.25">
      <c r="A25" s="237" t="s">
        <v>92</v>
      </c>
      <c r="B25" s="237">
        <v>27</v>
      </c>
      <c r="G25" s="237">
        <v>3</v>
      </c>
      <c r="H25" s="237">
        <f t="shared" si="11"/>
        <v>1355.8241271794052</v>
      </c>
      <c r="I25" s="237">
        <f t="shared" si="12"/>
        <v>109.4432936832479</v>
      </c>
      <c r="J25" s="237">
        <f t="shared" si="13"/>
        <v>175.10926989319663</v>
      </c>
      <c r="K25" s="237">
        <f t="shared" si="13"/>
        <v>158.80531890974504</v>
      </c>
    </row>
    <row r="26" spans="1:12" x14ac:dyDescent="0.25">
      <c r="A26" s="237" t="s">
        <v>93</v>
      </c>
      <c r="B26" s="237">
        <v>13</v>
      </c>
      <c r="G26" s="237">
        <v>2</v>
      </c>
      <c r="H26" s="237">
        <f t="shared" si="11"/>
        <v>1507.3024230597093</v>
      </c>
      <c r="I26" s="237">
        <f t="shared" si="12"/>
        <v>121.67075245930226</v>
      </c>
      <c r="J26" s="237">
        <f t="shared" si="13"/>
        <v>194.67320393488362</v>
      </c>
      <c r="K26" s="237">
        <f t="shared" si="13"/>
        <v>184.89123691404012</v>
      </c>
    </row>
    <row r="27" spans="1:12" x14ac:dyDescent="0.25">
      <c r="A27" s="237" t="s">
        <v>94</v>
      </c>
      <c r="B27" s="237">
        <v>12</v>
      </c>
      <c r="C27" t="s">
        <v>95</v>
      </c>
      <c r="E27">
        <v>12</v>
      </c>
      <c r="G27" s="237" t="s">
        <v>201</v>
      </c>
      <c r="H27" s="237">
        <f t="shared" si="11"/>
        <v>1588.5299150534956</v>
      </c>
      <c r="I27" s="237">
        <f t="shared" si="12"/>
        <v>131.9510620214451</v>
      </c>
      <c r="J27" s="237">
        <f t="shared" si="13"/>
        <v>195.28757179173877</v>
      </c>
      <c r="K27" s="237">
        <f t="shared" si="13"/>
        <v>194.98038786331119</v>
      </c>
    </row>
    <row r="28" spans="1:12" x14ac:dyDescent="0.25">
      <c r="A28" s="237" t="s">
        <v>136</v>
      </c>
      <c r="B28" s="322">
        <f>[9]Dati!$D$28</f>
        <v>9.7790455348262806E-2</v>
      </c>
      <c r="C28" t="s">
        <v>204</v>
      </c>
      <c r="G28" s="237" t="s">
        <v>99</v>
      </c>
      <c r="H28" s="237"/>
      <c r="I28" s="237"/>
      <c r="J28" s="237">
        <f t="shared" si="13"/>
        <v>292.93135768760817</v>
      </c>
      <c r="K28" s="237"/>
    </row>
    <row r="30" spans="1:12" x14ac:dyDescent="0.25">
      <c r="G30" s="19" t="s">
        <v>108</v>
      </c>
      <c r="H30" s="20"/>
      <c r="I30" s="20"/>
      <c r="J30" s="20"/>
      <c r="K30" s="21"/>
    </row>
    <row r="31" spans="1:12" x14ac:dyDescent="0.25">
      <c r="G31" s="231" t="s">
        <v>122</v>
      </c>
      <c r="H31" s="28"/>
      <c r="I31" s="28"/>
      <c r="J31" s="28"/>
      <c r="K31" s="29"/>
    </row>
    <row r="32" spans="1:12" x14ac:dyDescent="0.25">
      <c r="G32" s="237" t="s">
        <v>78</v>
      </c>
      <c r="H32" s="237" t="s">
        <v>91</v>
      </c>
      <c r="I32" s="237" t="s">
        <v>97</v>
      </c>
      <c r="J32" s="237" t="s">
        <v>100</v>
      </c>
      <c r="K32" s="237" t="s">
        <v>101</v>
      </c>
    </row>
    <row r="33" spans="1:11" x14ac:dyDescent="0.25">
      <c r="G33" s="237" t="s">
        <v>200</v>
      </c>
      <c r="H33" s="237">
        <f>H22</f>
        <v>479.88441621938517</v>
      </c>
      <c r="I33" s="237">
        <f>I22</f>
        <v>37.438046228990352</v>
      </c>
      <c r="J33" s="237">
        <f>$J$22*1.5</f>
        <v>89.851310949576842</v>
      </c>
      <c r="K33" s="237">
        <f>K22</f>
        <v>29.950436983192279</v>
      </c>
    </row>
    <row r="34" spans="1:11" x14ac:dyDescent="0.25">
      <c r="G34" s="237">
        <v>5</v>
      </c>
      <c r="H34" s="237">
        <f t="shared" ref="H34:I38" si="14">H23</f>
        <v>842.11512375924303</v>
      </c>
      <c r="I34" s="237">
        <f t="shared" si="14"/>
        <v>66.133433589387806</v>
      </c>
      <c r="J34" s="237">
        <f>$J$23*1.5</f>
        <v>158.72024061453078</v>
      </c>
      <c r="K34" s="237">
        <f t="shared" ref="K34:K38" si="15">K23</f>
        <v>82.857183854702541</v>
      </c>
    </row>
    <row r="35" spans="1:11" x14ac:dyDescent="0.25">
      <c r="G35" s="237">
        <v>4</v>
      </c>
      <c r="H35" s="237">
        <f t="shared" si="14"/>
        <v>1134.095027412583</v>
      </c>
      <c r="I35" s="237">
        <f t="shared" si="14"/>
        <v>89.063354953933384</v>
      </c>
      <c r="J35" s="237">
        <f>$J$24*1.5</f>
        <v>213.75205188944014</v>
      </c>
      <c r="K35" s="237">
        <f t="shared" si="15"/>
        <v>124.15743083465696</v>
      </c>
    </row>
    <row r="36" spans="1:11" x14ac:dyDescent="0.25">
      <c r="G36" s="237">
        <v>3</v>
      </c>
      <c r="H36" s="237">
        <f t="shared" si="14"/>
        <v>1355.8241271794052</v>
      </c>
      <c r="I36" s="237">
        <f t="shared" si="14"/>
        <v>109.4432936832479</v>
      </c>
      <c r="J36" s="237">
        <f>$J$25*1.5</f>
        <v>262.66390483979495</v>
      </c>
      <c r="K36" s="237">
        <f t="shared" si="15"/>
        <v>158.80531890974504</v>
      </c>
    </row>
    <row r="37" spans="1:11" x14ac:dyDescent="0.25">
      <c r="G37" s="237">
        <v>2</v>
      </c>
      <c r="H37" s="237">
        <f t="shared" si="14"/>
        <v>1507.3024230597093</v>
      </c>
      <c r="I37" s="237">
        <f t="shared" si="14"/>
        <v>121.67075245930226</v>
      </c>
      <c r="J37" s="237">
        <f>$J$26*1.5</f>
        <v>292.00980590232541</v>
      </c>
      <c r="K37" s="237">
        <f t="shared" si="15"/>
        <v>184.89123691404012</v>
      </c>
    </row>
    <row r="38" spans="1:11" x14ac:dyDescent="0.25">
      <c r="G38" s="237" t="s">
        <v>201</v>
      </c>
      <c r="H38" s="237">
        <f t="shared" si="14"/>
        <v>1588.5299150534956</v>
      </c>
      <c r="I38" s="237">
        <f t="shared" si="14"/>
        <v>131.9510620214451</v>
      </c>
      <c r="J38" s="237">
        <f>$J$27*1.5</f>
        <v>292.93135768760817</v>
      </c>
      <c r="K38" s="237">
        <f t="shared" si="15"/>
        <v>194.98038786331119</v>
      </c>
    </row>
    <row r="39" spans="1:11" x14ac:dyDescent="0.25">
      <c r="G39" s="237" t="s">
        <v>99</v>
      </c>
      <c r="H39" s="237"/>
      <c r="I39" s="237"/>
      <c r="J39" s="237">
        <f>$J$28</f>
        <v>292.93135768760817</v>
      </c>
      <c r="K39" s="237"/>
    </row>
    <row r="41" spans="1:11" x14ac:dyDescent="0.25">
      <c r="A41" s="19" t="s">
        <v>109</v>
      </c>
      <c r="B41" s="20"/>
      <c r="C41" s="20"/>
      <c r="D41" s="20"/>
      <c r="E41" s="20"/>
      <c r="F41" s="20"/>
      <c r="G41" s="21"/>
    </row>
    <row r="42" spans="1:11" x14ac:dyDescent="0.25">
      <c r="A42" s="24" t="s">
        <v>110</v>
      </c>
      <c r="B42" s="13"/>
      <c r="C42" s="13"/>
      <c r="D42" s="13"/>
      <c r="E42" s="13"/>
      <c r="F42" s="13"/>
      <c r="G42" s="23"/>
    </row>
    <row r="43" spans="1:11" x14ac:dyDescent="0.25">
      <c r="A43" s="22" t="s">
        <v>113</v>
      </c>
      <c r="B43" s="12">
        <f>'analisi dei carichi'!G57</f>
        <v>86.7913014592</v>
      </c>
      <c r="C43" s="13"/>
      <c r="D43" s="13"/>
      <c r="E43" s="13"/>
      <c r="F43" s="13"/>
      <c r="G43" s="23"/>
    </row>
    <row r="44" spans="1:11" x14ac:dyDescent="0.25">
      <c r="A44" s="24" t="s">
        <v>111</v>
      </c>
      <c r="B44" s="13"/>
      <c r="C44" s="13" t="s">
        <v>123</v>
      </c>
      <c r="D44" s="13"/>
      <c r="E44" s="13"/>
      <c r="F44" s="13"/>
      <c r="G44" s="23"/>
    </row>
    <row r="45" spans="1:11" ht="14.25" customHeight="1" x14ac:dyDescent="0.25">
      <c r="A45" s="22" t="s">
        <v>113</v>
      </c>
      <c r="B45" s="12">
        <f>K38</f>
        <v>194.98038786331119</v>
      </c>
      <c r="C45" s="13"/>
      <c r="D45" s="13"/>
      <c r="E45" s="13"/>
      <c r="F45" s="13"/>
      <c r="G45" s="23"/>
    </row>
    <row r="46" spans="1:11" x14ac:dyDescent="0.25">
      <c r="A46" s="24" t="s">
        <v>112</v>
      </c>
      <c r="B46" s="13"/>
      <c r="C46" s="13"/>
      <c r="D46" s="13"/>
      <c r="E46" s="13"/>
      <c r="F46" s="13"/>
      <c r="G46" s="23"/>
    </row>
    <row r="47" spans="1:11" x14ac:dyDescent="0.25">
      <c r="A47" s="22" t="s">
        <v>296</v>
      </c>
      <c r="B47" s="12">
        <f>B43+B45</f>
        <v>281.77168932251118</v>
      </c>
      <c r="C47" s="13"/>
      <c r="D47" s="13"/>
      <c r="E47" s="13"/>
      <c r="F47" s="13"/>
      <c r="G47" s="23"/>
    </row>
    <row r="48" spans="1:11" x14ac:dyDescent="0.25">
      <c r="A48" s="252" t="s">
        <v>297</v>
      </c>
      <c r="B48" s="12">
        <v>25</v>
      </c>
      <c r="C48" s="13" t="s">
        <v>116</v>
      </c>
      <c r="D48" s="13"/>
      <c r="E48" s="13"/>
      <c r="F48" s="13"/>
      <c r="G48" s="23"/>
    </row>
    <row r="49" spans="1:8" x14ac:dyDescent="0.25">
      <c r="A49" s="22" t="s">
        <v>117</v>
      </c>
      <c r="B49" s="12">
        <f>'analisi dei carichi'!P12</f>
        <v>0.3</v>
      </c>
      <c r="C49" s="13" t="s">
        <v>121</v>
      </c>
      <c r="D49" s="13"/>
      <c r="E49" s="13"/>
      <c r="F49" s="13"/>
      <c r="G49" s="23"/>
    </row>
    <row r="50" spans="1:8" x14ac:dyDescent="0.25">
      <c r="A50" s="22" t="s">
        <v>118</v>
      </c>
      <c r="B50" s="12">
        <v>0.04</v>
      </c>
      <c r="C50" s="13" t="s">
        <v>121</v>
      </c>
      <c r="D50" s="13"/>
      <c r="E50" s="13"/>
      <c r="F50" s="13"/>
      <c r="G50" s="23"/>
    </row>
    <row r="51" spans="1:8" x14ac:dyDescent="0.25">
      <c r="A51" s="22" t="s">
        <v>120</v>
      </c>
      <c r="B51" s="12">
        <v>1.7999999999999999E-2</v>
      </c>
      <c r="C51" s="13"/>
      <c r="D51" s="13"/>
      <c r="E51" s="13"/>
      <c r="F51" s="13"/>
      <c r="G51" s="23"/>
    </row>
    <row r="52" spans="1:8" x14ac:dyDescent="0.25">
      <c r="A52" s="22" t="s">
        <v>119</v>
      </c>
      <c r="B52" s="12">
        <f>B51*SQRT(B47/B49)</f>
        <v>0.55164610437155448</v>
      </c>
      <c r="C52" s="13" t="s">
        <v>304</v>
      </c>
      <c r="D52" s="13"/>
      <c r="E52" s="13"/>
      <c r="F52" s="13" t="s">
        <v>252</v>
      </c>
      <c r="G52" s="23"/>
    </row>
    <row r="53" spans="1:8" x14ac:dyDescent="0.25">
      <c r="A53" s="231" t="s">
        <v>277</v>
      </c>
      <c r="B53" s="28"/>
      <c r="C53" s="28"/>
      <c r="D53" s="28"/>
      <c r="E53" s="28"/>
      <c r="F53" s="28"/>
      <c r="G53" s="29"/>
    </row>
    <row r="55" spans="1:8" x14ac:dyDescent="0.25">
      <c r="B55" s="137" t="s">
        <v>124</v>
      </c>
      <c r="C55" s="137"/>
      <c r="D55" s="237"/>
      <c r="E55" s="237" t="s">
        <v>179</v>
      </c>
      <c r="F55" s="237"/>
      <c r="G55" s="237" t="s">
        <v>178</v>
      </c>
      <c r="H55" s="237" t="s">
        <v>173</v>
      </c>
    </row>
    <row r="56" spans="1:8" x14ac:dyDescent="0.25">
      <c r="B56" s="237" t="s">
        <v>78</v>
      </c>
      <c r="C56" s="237" t="s">
        <v>100</v>
      </c>
      <c r="D56" s="237" t="s">
        <v>102</v>
      </c>
      <c r="E56" s="237" t="str">
        <f>'analisi dei carichi'!D88</f>
        <v>pilastro 22</v>
      </c>
      <c r="F56" s="237" t="str">
        <f>'analisi dei carichi'!E88</f>
        <v>pilastro 4</v>
      </c>
      <c r="G56" s="237" t="s">
        <v>202</v>
      </c>
      <c r="H56" s="237" t="s">
        <v>203</v>
      </c>
    </row>
    <row r="57" spans="1:8" x14ac:dyDescent="0.25">
      <c r="B57" s="237" t="s">
        <v>200</v>
      </c>
      <c r="C57" s="138">
        <f>$J$22*1.5</f>
        <v>89.851310949576842</v>
      </c>
      <c r="D57" s="138">
        <f>R10</f>
        <v>9.5994990330744496</v>
      </c>
      <c r="E57" s="138">
        <f>'analisi dei carichi'!D89</f>
        <v>227.17564186636801</v>
      </c>
      <c r="F57" s="138">
        <f>'analisi dei carichi'!E89</f>
        <v>47.623890623999998</v>
      </c>
      <c r="G57" s="138">
        <f>E57+D57</f>
        <v>236.77514089944245</v>
      </c>
      <c r="H57" s="138">
        <f>F57-D57</f>
        <v>38.024391590925546</v>
      </c>
    </row>
    <row r="58" spans="1:8" x14ac:dyDescent="0.25">
      <c r="B58" s="237">
        <v>5</v>
      </c>
      <c r="C58" s="138">
        <f>$J$23*1.5</f>
        <v>158.72024061453078</v>
      </c>
      <c r="D58" s="138">
        <f t="shared" ref="D58:D62" si="16">R11</f>
        <v>36.156288730094495</v>
      </c>
      <c r="E58" s="138">
        <f>'analisi dei carichi'!D90</f>
        <v>454.35128373273602</v>
      </c>
      <c r="F58" s="138">
        <f>'analisi dei carichi'!E90</f>
        <v>95.247781247999995</v>
      </c>
      <c r="G58" s="138">
        <f t="shared" ref="G58:G62" si="17">E58+D58</f>
        <v>490.50757246283052</v>
      </c>
      <c r="H58" s="138">
        <f t="shared" ref="H58:H62" si="18">F58-D58</f>
        <v>59.0914925179055</v>
      </c>
    </row>
    <row r="59" spans="1:8" x14ac:dyDescent="0.25">
      <c r="B59" s="237">
        <v>4</v>
      </c>
      <c r="C59" s="138">
        <f>$J$24*1.5</f>
        <v>213.75205188944014</v>
      </c>
      <c r="D59" s="138">
        <f t="shared" si="16"/>
        <v>66.350838041461373</v>
      </c>
      <c r="E59" s="138">
        <f>'analisi dei carichi'!D91</f>
        <v>681.52692559910406</v>
      </c>
      <c r="F59" s="138">
        <f>'analisi dei carichi'!E91</f>
        <v>142.87167187199998</v>
      </c>
      <c r="G59" s="138">
        <f t="shared" si="17"/>
        <v>747.87776364056549</v>
      </c>
      <c r="H59" s="138">
        <f t="shared" si="18"/>
        <v>76.520833830538606</v>
      </c>
    </row>
    <row r="60" spans="1:8" x14ac:dyDescent="0.25">
      <c r="B60" s="237">
        <v>3</v>
      </c>
      <c r="C60" s="138">
        <f>$J$25*1.5</f>
        <v>262.66390483979495</v>
      </c>
      <c r="D60" s="138">
        <f t="shared" si="16"/>
        <v>90.693189020641668</v>
      </c>
      <c r="E60" s="138">
        <f>'analisi dei carichi'!D92</f>
        <v>908.70256746547204</v>
      </c>
      <c r="F60" s="138">
        <f>'analisi dei carichi'!E92</f>
        <v>190.49556249599999</v>
      </c>
      <c r="G60" s="138">
        <f t="shared" si="17"/>
        <v>999.39575648611367</v>
      </c>
      <c r="H60" s="138">
        <f t="shared" si="18"/>
        <v>99.802373475358323</v>
      </c>
    </row>
    <row r="61" spans="1:8" x14ac:dyDescent="0.25">
      <c r="B61" s="237">
        <v>2</v>
      </c>
      <c r="C61" s="138">
        <f>$J$26*1.5</f>
        <v>292.00980590232541</v>
      </c>
      <c r="D61" s="138">
        <f t="shared" si="16"/>
        <v>110.15915250762343</v>
      </c>
      <c r="E61" s="138">
        <f>'analisi dei carichi'!D93</f>
        <v>1135.87820933184</v>
      </c>
      <c r="F61" s="138">
        <f>'analisi dei carichi'!E93</f>
        <v>238.11945312</v>
      </c>
      <c r="G61" s="138">
        <f t="shared" si="17"/>
        <v>1246.0373618394635</v>
      </c>
      <c r="H61" s="138">
        <f t="shared" si="18"/>
        <v>127.96030061237657</v>
      </c>
    </row>
    <row r="62" spans="1:8" x14ac:dyDescent="0.25">
      <c r="B62" s="237">
        <v>1</v>
      </c>
      <c r="C62" s="138">
        <f>$J$27*1.5</f>
        <v>292.93135768760817</v>
      </c>
      <c r="D62" s="138">
        <f t="shared" si="16"/>
        <v>121.7537258901767</v>
      </c>
      <c r="E62" s="138">
        <f>'analisi dei carichi'!D94</f>
        <v>1363.0538511982081</v>
      </c>
      <c r="F62" s="138">
        <f>'analisi dei carichi'!E94</f>
        <v>285.74334374399996</v>
      </c>
      <c r="G62" s="138">
        <f t="shared" si="17"/>
        <v>1484.8075770883847</v>
      </c>
      <c r="H62" s="138">
        <f t="shared" si="18"/>
        <v>163.98961785382326</v>
      </c>
    </row>
    <row r="63" spans="1:8" x14ac:dyDescent="0.25">
      <c r="B63" s="237"/>
      <c r="C63" s="138">
        <f>$J$28</f>
        <v>292.93135768760817</v>
      </c>
      <c r="D63" s="237"/>
      <c r="E63" s="237"/>
      <c r="F63" s="237"/>
      <c r="G63" s="237"/>
      <c r="H63" s="237"/>
    </row>
  </sheetData>
  <mergeCells count="1">
    <mergeCell ref="J1:K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93"/>
  <sheetViews>
    <sheetView topLeftCell="A73" zoomScaleNormal="100" workbookViewId="0">
      <selection activeCell="F80" sqref="F80"/>
    </sheetView>
  </sheetViews>
  <sheetFormatPr defaultRowHeight="15" x14ac:dyDescent="0.25"/>
  <cols>
    <col min="1" max="1" width="12.5703125" customWidth="1"/>
    <col min="2" max="2" width="13.42578125" customWidth="1"/>
    <col min="3" max="3" width="14.7109375" customWidth="1"/>
    <col min="4" max="4" width="15.28515625" customWidth="1"/>
    <col min="5" max="5" width="14.7109375" customWidth="1"/>
    <col min="6" max="6" width="13.7109375" customWidth="1"/>
    <col min="7" max="7" width="16.140625" customWidth="1"/>
    <col min="8" max="8" width="15.5703125" customWidth="1"/>
    <col min="9" max="9" width="17.140625" customWidth="1"/>
    <col min="10" max="10" width="13.85546875" customWidth="1"/>
    <col min="11" max="11" width="12.85546875" customWidth="1"/>
    <col min="12" max="12" width="14.140625" customWidth="1"/>
    <col min="13" max="13" width="13" customWidth="1"/>
    <col min="14" max="14" width="14" customWidth="1"/>
    <col min="15" max="15" width="12.85546875" customWidth="1"/>
    <col min="16" max="16" width="13.7109375" customWidth="1"/>
    <col min="17" max="17" width="14.140625" customWidth="1"/>
    <col min="18" max="18" width="11.28515625" customWidth="1"/>
    <col min="19" max="20" width="10.5703125" bestFit="1" customWidth="1"/>
  </cols>
  <sheetData>
    <row r="1" spans="1:18" x14ac:dyDescent="0.25">
      <c r="A1" s="256"/>
      <c r="B1" s="256"/>
      <c r="C1" s="256"/>
      <c r="E1" s="256"/>
      <c r="F1" s="256"/>
      <c r="G1" s="256"/>
    </row>
    <row r="2" spans="1:18" x14ac:dyDescent="0.25">
      <c r="A2" s="232" t="s">
        <v>316</v>
      </c>
      <c r="B2" s="233"/>
      <c r="C2" s="266" t="s">
        <v>310</v>
      </c>
      <c r="D2" s="272" t="s">
        <v>311</v>
      </c>
      <c r="E2" s="20"/>
      <c r="F2" s="20"/>
      <c r="G2" s="20"/>
      <c r="H2" s="20" t="s">
        <v>338</v>
      </c>
      <c r="I2" s="21"/>
      <c r="J2" s="276"/>
      <c r="K2" s="276" t="s">
        <v>342</v>
      </c>
      <c r="L2" s="276"/>
      <c r="M2" s="276"/>
      <c r="N2" s="277"/>
      <c r="O2" s="277"/>
      <c r="P2" s="277"/>
      <c r="Q2" s="12"/>
      <c r="R2" s="12"/>
    </row>
    <row r="3" spans="1:18" x14ac:dyDescent="0.25">
      <c r="A3" s="254" t="s">
        <v>308</v>
      </c>
      <c r="B3" s="318" t="s">
        <v>78</v>
      </c>
      <c r="C3" s="58" t="s">
        <v>101</v>
      </c>
      <c r="D3" s="58" t="s">
        <v>100</v>
      </c>
      <c r="E3" s="58" t="s">
        <v>223</v>
      </c>
      <c r="F3" s="323" t="s">
        <v>231</v>
      </c>
      <c r="G3" s="318" t="s">
        <v>78</v>
      </c>
      <c r="H3" s="58" t="s">
        <v>101</v>
      </c>
      <c r="I3" s="58" t="s">
        <v>100</v>
      </c>
      <c r="J3" s="276"/>
      <c r="K3" s="278" t="s">
        <v>341</v>
      </c>
      <c r="L3" s="276"/>
      <c r="M3" s="276"/>
      <c r="N3" s="277"/>
      <c r="O3" s="277"/>
      <c r="P3" s="277"/>
      <c r="Q3" s="12"/>
      <c r="R3" s="12"/>
    </row>
    <row r="4" spans="1:18" x14ac:dyDescent="0.25">
      <c r="A4" s="255">
        <v>0.7013114556897867</v>
      </c>
      <c r="B4" s="58" t="s">
        <v>200</v>
      </c>
      <c r="C4" s="32">
        <f>'masse e forze'!K22</f>
        <v>30.304250627015108</v>
      </c>
      <c r="D4" s="35">
        <f>'masse e forze'!J33</f>
        <v>90.912751881045324</v>
      </c>
      <c r="E4" s="35">
        <f>rigidezze!E27</f>
        <v>20.262745023666199</v>
      </c>
      <c r="F4" s="35">
        <f>rigidezze!E37</f>
        <v>15.173690749789767</v>
      </c>
      <c r="G4" s="58" t="s">
        <v>200</v>
      </c>
      <c r="H4" s="15">
        <f>'masse e forze'!S10</f>
        <v>25.253542189179257</v>
      </c>
      <c r="I4" s="138">
        <f>'masse e forze'!R10</f>
        <v>50.507084378358513</v>
      </c>
      <c r="N4" s="12"/>
      <c r="O4" s="12"/>
      <c r="P4" s="12"/>
      <c r="Q4" s="12"/>
      <c r="R4" s="12"/>
    </row>
    <row r="5" spans="1:18" x14ac:dyDescent="0.25">
      <c r="A5" s="253"/>
      <c r="B5" s="58">
        <v>5</v>
      </c>
      <c r="C5" s="32">
        <f>'masse e forze'!K23</f>
        <v>96.777725553145331</v>
      </c>
      <c r="D5" s="35">
        <f>'masse e forze'!J34</f>
        <v>199.42042477839067</v>
      </c>
      <c r="E5" s="35">
        <f>rigidezze!E28</f>
        <v>18.161788734762929</v>
      </c>
      <c r="F5" s="35">
        <f>rigidezze!E38</f>
        <v>13.674979142834079</v>
      </c>
      <c r="G5" s="58">
        <v>5</v>
      </c>
      <c r="H5" s="15">
        <f>'masse e forze'!S11</f>
        <v>80.648104627621109</v>
      </c>
      <c r="I5" s="138">
        <f>'masse e forze'!R11</f>
        <v>110.7891248768837</v>
      </c>
      <c r="N5" s="12"/>
      <c r="O5" s="12"/>
      <c r="P5" s="12"/>
      <c r="Q5" s="12"/>
      <c r="R5" s="12"/>
    </row>
    <row r="6" spans="1:18" x14ac:dyDescent="0.25">
      <c r="A6" s="253"/>
      <c r="B6" s="58">
        <v>4</v>
      </c>
      <c r="C6" s="32">
        <f>'masse e forze'!K24</f>
        <v>155.99477105489106</v>
      </c>
      <c r="D6" s="35">
        <f>'masse e forze'!J35</f>
        <v>268.56388838628254</v>
      </c>
      <c r="E6" s="35">
        <f>rigidezze!E29</f>
        <v>15.146403079766049</v>
      </c>
      <c r="F6" s="35">
        <f>rigidezze!E39</f>
        <v>11.528496922641507</v>
      </c>
      <c r="G6" s="58">
        <v>4</v>
      </c>
      <c r="H6" s="15">
        <f>'masse e forze'!S12</f>
        <v>129.99564254574256</v>
      </c>
      <c r="I6" s="138">
        <f>'masse e forze'!R12</f>
        <v>149.20216021460143</v>
      </c>
      <c r="N6" s="12"/>
      <c r="O6" s="12"/>
      <c r="P6" s="12"/>
      <c r="Q6" s="12"/>
      <c r="R6" s="12"/>
    </row>
    <row r="7" spans="1:18" x14ac:dyDescent="0.25">
      <c r="A7" s="253"/>
      <c r="B7" s="58">
        <v>3</v>
      </c>
      <c r="C7" s="32">
        <f>'masse e forze'!K25</f>
        <v>196.54507302042168</v>
      </c>
      <c r="D7" s="35">
        <f>'masse e forze'!J36</f>
        <v>321.07133067498251</v>
      </c>
      <c r="E7" s="35">
        <f>rigidezze!E30</f>
        <v>11.775532996822466</v>
      </c>
      <c r="F7" s="35">
        <f>rigidezze!E40</f>
        <v>9.0871211930835507</v>
      </c>
      <c r="G7" s="58">
        <v>3</v>
      </c>
      <c r="H7" s="15">
        <f>'masse e forze'!S13</f>
        <v>163.78756085035141</v>
      </c>
      <c r="I7" s="138">
        <f>'masse e forze'!R13</f>
        <v>178.37296148610139</v>
      </c>
      <c r="N7" s="12"/>
      <c r="O7" s="12"/>
      <c r="P7" s="12"/>
      <c r="Q7" s="12"/>
      <c r="R7" s="12"/>
    </row>
    <row r="8" spans="1:18" x14ac:dyDescent="0.25">
      <c r="A8" s="253"/>
      <c r="B8" s="58">
        <v>2</v>
      </c>
      <c r="C8" s="32">
        <f>'masse e forze'!K26</f>
        <v>226.00469410649094</v>
      </c>
      <c r="D8" s="35">
        <f>'masse e forze'!J37</f>
        <v>356.94275164449027</v>
      </c>
      <c r="E8" s="35">
        <f>rigidezze!E31</f>
        <v>7.7456176215040298</v>
      </c>
      <c r="F8" s="35">
        <f>rigidezze!E41</f>
        <v>6.1684273996747407</v>
      </c>
      <c r="G8" s="58">
        <v>2</v>
      </c>
      <c r="H8" s="15">
        <f>'masse e forze'!S14</f>
        <v>188.33724508874246</v>
      </c>
      <c r="I8" s="138">
        <f>'masse e forze'!R14</f>
        <v>198.30152869138351</v>
      </c>
      <c r="N8" s="12"/>
      <c r="O8" s="12"/>
      <c r="P8" s="12"/>
      <c r="Q8" s="12"/>
      <c r="R8" s="12"/>
    </row>
    <row r="9" spans="1:18" x14ac:dyDescent="0.25">
      <c r="A9" s="253"/>
      <c r="B9" s="58" t="s">
        <v>201</v>
      </c>
      <c r="C9" s="32">
        <f>'masse e forze'!K27</f>
        <v>234.96918053072864</v>
      </c>
      <c r="D9" s="35">
        <f>'masse e forze'!J38</f>
        <v>347.96478994769564</v>
      </c>
      <c r="E9" s="35">
        <f>rigidezze!E32</f>
        <v>3.2654633830780191</v>
      </c>
      <c r="F9" s="35">
        <f>rigidezze!E42</f>
        <v>2.9236450279915864</v>
      </c>
      <c r="G9" s="58" t="s">
        <v>201</v>
      </c>
      <c r="H9" s="15">
        <f>'masse e forze'!S15</f>
        <v>195.80765044227388</v>
      </c>
      <c r="I9" s="138">
        <f>'masse e forze'!R15</f>
        <v>193.31377219316425</v>
      </c>
      <c r="N9" s="12"/>
      <c r="O9" s="12"/>
      <c r="P9" s="12"/>
      <c r="Q9" s="12"/>
      <c r="R9" s="12"/>
    </row>
    <row r="10" spans="1:18" x14ac:dyDescent="0.25">
      <c r="A10" s="15"/>
      <c r="B10" s="58" t="s">
        <v>99</v>
      </c>
      <c r="C10" s="65"/>
      <c r="D10" s="35">
        <f>'masse e forze'!J39</f>
        <v>347.96478994769564</v>
      </c>
      <c r="E10" s="28"/>
      <c r="F10" s="29"/>
      <c r="G10" s="58" t="s">
        <v>99</v>
      </c>
      <c r="H10" s="15"/>
      <c r="I10" s="138">
        <f>'masse e forze'!R16</f>
        <v>289.97065828974638</v>
      </c>
    </row>
    <row r="12" spans="1:18" x14ac:dyDescent="0.25">
      <c r="A12" s="232" t="s">
        <v>317</v>
      </c>
      <c r="B12" s="20"/>
      <c r="C12" s="266" t="s">
        <v>310</v>
      </c>
      <c r="D12" s="272" t="s">
        <v>311</v>
      </c>
      <c r="E12" s="20"/>
      <c r="F12" s="20"/>
      <c r="G12" s="20"/>
      <c r="H12" s="20" t="s">
        <v>338</v>
      </c>
      <c r="I12" s="21"/>
    </row>
    <row r="13" spans="1:18" x14ac:dyDescent="0.25">
      <c r="A13" s="254" t="s">
        <v>309</v>
      </c>
      <c r="B13" s="318" t="s">
        <v>78</v>
      </c>
      <c r="C13" s="58" t="s">
        <v>101</v>
      </c>
      <c r="D13" s="58" t="s">
        <v>100</v>
      </c>
      <c r="E13" s="58" t="s">
        <v>223</v>
      </c>
      <c r="F13" s="23"/>
      <c r="G13" s="318" t="s">
        <v>78</v>
      </c>
      <c r="H13" s="58" t="s">
        <v>101</v>
      </c>
      <c r="I13" s="58" t="s">
        <v>100</v>
      </c>
    </row>
    <row r="14" spans="1:18" x14ac:dyDescent="0.25">
      <c r="A14" s="255">
        <f>rigidezze!H35</f>
        <v>0.79396810039451493</v>
      </c>
      <c r="B14" s="58" t="s">
        <v>200</v>
      </c>
      <c r="C14" s="35">
        <f>Fx!Q10</f>
        <v>31.960135197291766</v>
      </c>
      <c r="D14" s="35">
        <f>Fx!P10</f>
        <v>63.920270394583532</v>
      </c>
      <c r="E14" s="32">
        <f>'spostamenti x y '!C27</f>
        <v>18.042542137917017</v>
      </c>
      <c r="F14" s="23"/>
      <c r="G14" s="58" t="s">
        <v>200</v>
      </c>
      <c r="H14" s="138">
        <f>Fx!Q10</f>
        <v>31.960135197291766</v>
      </c>
      <c r="I14" s="138">
        <f>Fx!P10</f>
        <v>63.920270394583532</v>
      </c>
    </row>
    <row r="15" spans="1:18" x14ac:dyDescent="0.25">
      <c r="A15" s="24"/>
      <c r="B15" s="58">
        <v>5</v>
      </c>
      <c r="C15" s="35">
        <f>Fx!Q11</f>
        <v>88.322915715784291</v>
      </c>
      <c r="D15" s="35">
        <f>Fx!P11</f>
        <v>112.72556103698506</v>
      </c>
      <c r="E15" s="32">
        <f>'spostamenti x y '!C28</f>
        <v>16.644390819395891</v>
      </c>
      <c r="F15" s="23"/>
      <c r="G15" s="58">
        <v>5</v>
      </c>
      <c r="H15" s="138">
        <f>Fx!Q11</f>
        <v>88.322915715784291</v>
      </c>
      <c r="I15" s="138">
        <f>Fx!P11</f>
        <v>112.72556103698506</v>
      </c>
    </row>
    <row r="16" spans="1:18" x14ac:dyDescent="0.25">
      <c r="A16" s="24"/>
      <c r="B16" s="58">
        <v>4</v>
      </c>
      <c r="C16" s="35">
        <f>Fx!Q12</f>
        <v>132.26778128824932</v>
      </c>
      <c r="D16" s="35">
        <f>Fx!P12</f>
        <v>151.81000153951359</v>
      </c>
      <c r="E16" s="32">
        <f>'spostamenti x y '!C29</f>
        <v>13.982085692650251</v>
      </c>
      <c r="F16" s="23"/>
      <c r="G16" s="58">
        <v>4</v>
      </c>
      <c r="H16" s="138">
        <f>Fx!Q12</f>
        <v>132.26778128824932</v>
      </c>
      <c r="I16" s="138">
        <f>Fx!P12</f>
        <v>151.81000153951359</v>
      </c>
    </row>
    <row r="17" spans="1:15" x14ac:dyDescent="0.25">
      <c r="A17" s="24"/>
      <c r="B17" s="58">
        <v>3</v>
      </c>
      <c r="C17" s="35">
        <f>Fx!Q13</f>
        <v>167.34442267817121</v>
      </c>
      <c r="D17" s="35">
        <f>Fx!P13</f>
        <v>182.87884381682881</v>
      </c>
      <c r="E17" s="32">
        <f>'spostamenti x y '!C30</f>
        <v>10.396700606322716</v>
      </c>
      <c r="F17" s="23"/>
      <c r="G17" s="58">
        <v>3</v>
      </c>
      <c r="H17" s="138">
        <f>Fx!Q13</f>
        <v>167.34442267817121</v>
      </c>
      <c r="I17" s="138">
        <f>Fx!P13</f>
        <v>182.87884381682881</v>
      </c>
    </row>
    <row r="18" spans="1:15" x14ac:dyDescent="0.25">
      <c r="A18" s="24"/>
      <c r="B18" s="58">
        <v>2</v>
      </c>
      <c r="C18" s="35">
        <f>Fx!Q14</f>
        <v>193.09483535238434</v>
      </c>
      <c r="D18" s="35">
        <f>Fx!P14</f>
        <v>203.31082688793987</v>
      </c>
      <c r="E18" s="32">
        <f>'spostamenti x y '!C31</f>
        <v>6.8386600796384265</v>
      </c>
      <c r="F18" s="23"/>
      <c r="G18" s="58">
        <v>2</v>
      </c>
      <c r="H18" s="138">
        <f>Fx!Q14</f>
        <v>193.09483535238434</v>
      </c>
      <c r="I18" s="138">
        <f>Fx!P14</f>
        <v>203.31082688793987</v>
      </c>
    </row>
    <row r="19" spans="1:15" x14ac:dyDescent="0.25">
      <c r="A19" s="24"/>
      <c r="B19" s="58" t="s">
        <v>201</v>
      </c>
      <c r="C19" s="35">
        <f>Fx!Q15</f>
        <v>182.35383352223423</v>
      </c>
      <c r="D19" s="35">
        <f>Fx!P15</f>
        <v>161.39684015652858</v>
      </c>
      <c r="E19" s="32">
        <f>'spostamenti x y '!C32</f>
        <v>2.8831005054236623</v>
      </c>
      <c r="F19" s="23"/>
      <c r="G19" s="58" t="s">
        <v>201</v>
      </c>
      <c r="H19" s="138">
        <f>Fx!Q15</f>
        <v>182.35383352223423</v>
      </c>
      <c r="I19" s="138">
        <f>Fx!P15</f>
        <v>161.39684015652858</v>
      </c>
    </row>
    <row r="20" spans="1:15" x14ac:dyDescent="0.25">
      <c r="A20" s="24"/>
      <c r="B20" s="58" t="s">
        <v>99</v>
      </c>
      <c r="C20" s="273"/>
      <c r="D20" s="35">
        <f>Fx!P16</f>
        <v>242.09526023479285</v>
      </c>
      <c r="E20" s="13"/>
      <c r="F20" s="23"/>
      <c r="G20" s="58" t="s">
        <v>99</v>
      </c>
      <c r="H20" s="138"/>
      <c r="I20" s="138">
        <f>Fx!P16</f>
        <v>242.09526023479285</v>
      </c>
    </row>
    <row r="21" spans="1:15" x14ac:dyDescent="0.25">
      <c r="A21" s="24"/>
      <c r="B21" s="13"/>
      <c r="C21" s="25"/>
      <c r="D21" s="13"/>
      <c r="E21" s="13"/>
      <c r="F21" s="23"/>
      <c r="G21" s="13"/>
      <c r="H21" s="13"/>
      <c r="I21" s="23"/>
      <c r="J21" s="13"/>
      <c r="K21" s="13"/>
      <c r="L21" s="13"/>
    </row>
    <row r="22" spans="1:15" x14ac:dyDescent="0.25">
      <c r="A22" s="24"/>
      <c r="B22" s="13"/>
      <c r="C22" s="265" t="s">
        <v>310</v>
      </c>
      <c r="D22" s="265" t="s">
        <v>311</v>
      </c>
      <c r="E22" s="13"/>
      <c r="F22" s="23"/>
      <c r="G22" s="13"/>
      <c r="H22" s="13"/>
      <c r="I22" s="23"/>
    </row>
    <row r="23" spans="1:15" x14ac:dyDescent="0.25">
      <c r="A23" s="254" t="s">
        <v>312</v>
      </c>
      <c r="B23" s="318" t="s">
        <v>78</v>
      </c>
      <c r="C23" s="319" t="s">
        <v>101</v>
      </c>
      <c r="D23" s="319" t="s">
        <v>100</v>
      </c>
      <c r="E23" s="319" t="s">
        <v>231</v>
      </c>
      <c r="F23" s="23"/>
      <c r="G23" s="318" t="s">
        <v>78</v>
      </c>
      <c r="H23" s="58" t="s">
        <v>101</v>
      </c>
      <c r="I23" s="58" t="s">
        <v>100</v>
      </c>
    </row>
    <row r="24" spans="1:15" x14ac:dyDescent="0.25">
      <c r="A24" s="255">
        <f>rigidezze!H45</f>
        <v>0.69167956685069887</v>
      </c>
      <c r="B24" s="58" t="s">
        <v>200</v>
      </c>
      <c r="C24" s="138">
        <f>Fy!Q10</f>
        <v>24.958697485993568</v>
      </c>
      <c r="D24" s="138">
        <f>Fy!P10</f>
        <v>49.917394971987136</v>
      </c>
      <c r="E24" s="65">
        <f>'spostamenti x y '!C37</f>
        <v>15.508820984365324</v>
      </c>
      <c r="F24" s="23"/>
      <c r="G24" s="58" t="s">
        <v>200</v>
      </c>
      <c r="H24" s="138">
        <f>Fy!Q10</f>
        <v>24.958697485993568</v>
      </c>
      <c r="I24" s="138">
        <f>Fy!P10</f>
        <v>49.917394971987136</v>
      </c>
      <c r="L24" s="13"/>
      <c r="M24" s="13"/>
      <c r="N24" s="13"/>
      <c r="O24" s="13"/>
    </row>
    <row r="25" spans="1:15" x14ac:dyDescent="0.25">
      <c r="A25" s="24"/>
      <c r="B25" s="58">
        <v>5</v>
      </c>
      <c r="C25" s="138">
        <f>Fy!Q11</f>
        <v>69.047653212252115</v>
      </c>
      <c r="D25" s="138">
        <f>Fy!P11</f>
        <v>88.177911452517094</v>
      </c>
      <c r="E25" s="65">
        <f>'spostamenti x y '!C38</f>
        <v>14.314644635865285</v>
      </c>
      <c r="F25" s="23"/>
      <c r="G25" s="58">
        <v>5</v>
      </c>
      <c r="H25" s="138">
        <f>Fy!Q11</f>
        <v>69.047653212252115</v>
      </c>
      <c r="I25" s="138">
        <f>Fy!P11</f>
        <v>88.177911452517094</v>
      </c>
      <c r="L25" s="13"/>
      <c r="M25" s="13"/>
      <c r="N25" s="13"/>
      <c r="O25" s="13"/>
    </row>
    <row r="26" spans="1:15" x14ac:dyDescent="0.25">
      <c r="A26" s="24"/>
      <c r="B26" s="58">
        <v>4</v>
      </c>
      <c r="C26" s="138">
        <f>Fy!Q12</f>
        <v>103.46452569554748</v>
      </c>
      <c r="D26" s="138">
        <f>Fy!P12</f>
        <v>118.75113993857786</v>
      </c>
      <c r="E26" s="65">
        <f>'spostamenti x y '!C39</f>
        <v>12.139238409531316</v>
      </c>
      <c r="F26" s="23"/>
      <c r="G26" s="58">
        <v>4</v>
      </c>
      <c r="H26" s="138">
        <f>Fy!Q12</f>
        <v>103.46452569554748</v>
      </c>
      <c r="I26" s="138">
        <f>Fy!P12</f>
        <v>118.75113993857786</v>
      </c>
      <c r="O26" s="13"/>
    </row>
    <row r="27" spans="1:15" x14ac:dyDescent="0.25">
      <c r="A27" s="24"/>
      <c r="B27" s="58">
        <v>3</v>
      </c>
      <c r="C27" s="138">
        <f>Fy!Q13</f>
        <v>132.33776575812087</v>
      </c>
      <c r="D27" s="138">
        <f>Fy!P13</f>
        <v>145.92439157766387</v>
      </c>
      <c r="E27" s="65">
        <f>'spostamenti x y '!C40</f>
        <v>9.2095708210020994</v>
      </c>
      <c r="F27" s="23"/>
      <c r="G27" s="58">
        <v>3</v>
      </c>
      <c r="H27" s="138">
        <f>Fy!Q13</f>
        <v>132.33776575812087</v>
      </c>
      <c r="I27" s="138">
        <f>Fy!P13</f>
        <v>145.92439157766387</v>
      </c>
    </row>
    <row r="28" spans="1:15" x14ac:dyDescent="0.25">
      <c r="A28" s="24"/>
      <c r="B28" s="58">
        <v>2</v>
      </c>
      <c r="C28" s="138">
        <f>Fy!Q14</f>
        <v>154.07603076170011</v>
      </c>
      <c r="D28" s="138">
        <f>Fy!P14</f>
        <v>162.22766994573635</v>
      </c>
      <c r="E28" s="65">
        <f>'spostamenti x y '!C41</f>
        <v>6.2515474135805373</v>
      </c>
      <c r="F28" s="23"/>
      <c r="G28" s="58">
        <v>2</v>
      </c>
      <c r="H28" s="138">
        <f>Fy!Q14</f>
        <v>154.07603076170011</v>
      </c>
      <c r="I28" s="138">
        <f>Fy!P14</f>
        <v>162.22766994573635</v>
      </c>
    </row>
    <row r="29" spans="1:15" x14ac:dyDescent="0.25">
      <c r="A29" s="24"/>
      <c r="B29" s="58" t="s">
        <v>201</v>
      </c>
      <c r="C29" s="138">
        <f>Fy!Q15</f>
        <v>162.48365655275933</v>
      </c>
      <c r="D29" s="138">
        <f>Fy!P15</f>
        <v>162.7396431597823</v>
      </c>
      <c r="E29" s="65">
        <f>'spostamenti x y '!C42</f>
        <v>2.9630413602553149</v>
      </c>
      <c r="F29" s="23"/>
      <c r="G29" s="58" t="s">
        <v>201</v>
      </c>
      <c r="H29" s="138">
        <f>Fy!Q15</f>
        <v>162.48365655275933</v>
      </c>
      <c r="I29" s="138">
        <f>Fy!P15</f>
        <v>162.7396431597823</v>
      </c>
    </row>
    <row r="30" spans="1:15" x14ac:dyDescent="0.25">
      <c r="A30" s="231"/>
      <c r="B30" s="58" t="s">
        <v>99</v>
      </c>
      <c r="C30" s="138"/>
      <c r="D30" s="138">
        <f>Fy!P16</f>
        <v>244.10946473967348</v>
      </c>
      <c r="E30" s="29"/>
      <c r="F30" s="29"/>
      <c r="G30" s="58" t="s">
        <v>99</v>
      </c>
      <c r="H30" s="138"/>
      <c r="I30" s="138">
        <f>Fy!P16</f>
        <v>244.10946473967348</v>
      </c>
    </row>
    <row r="31" spans="1:15" x14ac:dyDescent="0.25">
      <c r="C31" s="13"/>
      <c r="D31" s="13"/>
      <c r="E31" s="261" t="s">
        <v>318</v>
      </c>
      <c r="F31" s="13"/>
      <c r="G31" s="13"/>
    </row>
    <row r="32" spans="1:15" x14ac:dyDescent="0.25">
      <c r="G32" s="503" t="s">
        <v>320</v>
      </c>
      <c r="H32" s="503"/>
      <c r="I32" s="504" t="s">
        <v>321</v>
      </c>
      <c r="J32" s="504"/>
    </row>
    <row r="33" spans="1:15" x14ac:dyDescent="0.25">
      <c r="A33" s="258" t="s">
        <v>78</v>
      </c>
      <c r="B33" s="259" t="s">
        <v>319</v>
      </c>
      <c r="C33" s="264" t="s">
        <v>231</v>
      </c>
      <c r="D33" s="271" t="s">
        <v>313</v>
      </c>
      <c r="E33" s="264" t="s">
        <v>314</v>
      </c>
      <c r="F33" s="264" t="s">
        <v>121</v>
      </c>
      <c r="G33" s="264" t="s">
        <v>323</v>
      </c>
      <c r="H33" s="264" t="s">
        <v>322</v>
      </c>
      <c r="I33" s="264" t="s">
        <v>324</v>
      </c>
      <c r="J33" s="264" t="s">
        <v>325</v>
      </c>
    </row>
    <row r="34" spans="1:15" x14ac:dyDescent="0.25">
      <c r="A34" s="58" t="s">
        <v>200</v>
      </c>
      <c r="B34" s="138">
        <f>D45</f>
        <v>19.08192</v>
      </c>
      <c r="C34" s="138">
        <f>[10]SPI!$Q$3</f>
        <v>16.60192</v>
      </c>
      <c r="D34" s="138">
        <f>Fx!J10</f>
        <v>418.05992581325859</v>
      </c>
      <c r="E34" s="65">
        <f>Fy!J10</f>
        <v>479.88441621938517</v>
      </c>
      <c r="F34" s="65">
        <v>335.55963302752298</v>
      </c>
      <c r="G34" s="138">
        <f>D34*B34</f>
        <v>7977.3860595745355</v>
      </c>
      <c r="H34" s="138">
        <f>F34*(B34^2)/1000</f>
        <v>122.18386314074283</v>
      </c>
      <c r="I34" s="138">
        <f>C34*E34</f>
        <v>7967.0026873209354</v>
      </c>
      <c r="J34" s="139">
        <f>F34*(C34^2)/1000</f>
        <v>92.488203627318967</v>
      </c>
      <c r="K34" s="13"/>
      <c r="L34" s="13"/>
      <c r="M34" s="13"/>
      <c r="N34" s="13"/>
    </row>
    <row r="35" spans="1:15" x14ac:dyDescent="0.25">
      <c r="A35" s="58">
        <v>5</v>
      </c>
      <c r="B35" s="138">
        <f t="shared" ref="B35:B39" si="0">D46</f>
        <v>16.882080000000002</v>
      </c>
      <c r="C35" s="138">
        <f>[10]SPI!$Q$6</f>
        <v>14.91164</v>
      </c>
      <c r="D35" s="138">
        <f>Fx!J11</f>
        <v>315.56378495143127</v>
      </c>
      <c r="E35" s="65">
        <f>Fy!J11</f>
        <v>362.23070753985792</v>
      </c>
      <c r="F35" s="65">
        <v>318.8583078491335</v>
      </c>
      <c r="G35" s="138">
        <f t="shared" ref="G35:G39" si="1">D35*B35</f>
        <v>5327.3730626528595</v>
      </c>
      <c r="H35" s="138">
        <f t="shared" ref="H35:H39" si="2">F35*(B35^2)/1000</f>
        <v>90.876092496980561</v>
      </c>
      <c r="I35" s="138">
        <f t="shared" ref="I35:I39" si="3">C35*E35</f>
        <v>5401.4539077796471</v>
      </c>
      <c r="J35" s="139">
        <f t="shared" ref="J35:J39" si="4">F35*(C35^2)/1000</f>
        <v>70.900379146530966</v>
      </c>
      <c r="M35" s="13"/>
      <c r="N35" s="13"/>
    </row>
    <row r="36" spans="1:15" x14ac:dyDescent="0.25">
      <c r="A36" s="58">
        <v>4</v>
      </c>
      <c r="B36" s="138">
        <f t="shared" si="0"/>
        <v>14.02538</v>
      </c>
      <c r="C36" s="138">
        <f>[10]SPI!$Q$9</f>
        <v>12.59572</v>
      </c>
      <c r="D36" s="138">
        <f>Fx!J12</f>
        <v>254.36353574872942</v>
      </c>
      <c r="E36" s="65">
        <f>Fy!J12</f>
        <v>291.97990365333999</v>
      </c>
      <c r="F36" s="65">
        <v>318.8583078491335</v>
      </c>
      <c r="G36" s="138">
        <f t="shared" si="1"/>
        <v>3567.5452470195146</v>
      </c>
      <c r="H36" s="138">
        <f t="shared" si="2"/>
        <v>62.723027197113467</v>
      </c>
      <c r="I36" s="138">
        <f t="shared" si="3"/>
        <v>3677.6971120444477</v>
      </c>
      <c r="J36" s="139">
        <f t="shared" si="4"/>
        <v>50.587560013451082</v>
      </c>
      <c r="M36" s="13"/>
      <c r="N36" s="13"/>
    </row>
    <row r="37" spans="1:15" x14ac:dyDescent="0.25">
      <c r="A37" s="58">
        <v>3</v>
      </c>
      <c r="B37" s="138">
        <f t="shared" si="0"/>
        <v>10.709519999999999</v>
      </c>
      <c r="C37" s="138">
        <f>[10]SPI!$Q$12</f>
        <v>9.8398000000000003</v>
      </c>
      <c r="D37" s="138">
        <f>Fx!J13</f>
        <v>193.16328654602762</v>
      </c>
      <c r="E37" s="65">
        <f>Fy!J13</f>
        <v>221.72909976682215</v>
      </c>
      <c r="F37" s="65">
        <v>318.8583078491335</v>
      </c>
      <c r="G37" s="138">
        <f t="shared" si="1"/>
        <v>2068.6860805304136</v>
      </c>
      <c r="H37" s="138">
        <f t="shared" si="2"/>
        <v>36.571076929244768</v>
      </c>
      <c r="I37" s="138">
        <f t="shared" si="3"/>
        <v>2181.7699958855765</v>
      </c>
      <c r="J37" s="139">
        <f t="shared" si="4"/>
        <v>30.872391958931697</v>
      </c>
      <c r="M37" s="13"/>
      <c r="N37" s="13"/>
    </row>
    <row r="38" spans="1:15" x14ac:dyDescent="0.25">
      <c r="A38" s="58">
        <v>2</v>
      </c>
      <c r="B38" s="138">
        <f t="shared" si="0"/>
        <v>7.3589200000000003</v>
      </c>
      <c r="C38" s="138">
        <f>[10]SPI!$Q$15</f>
        <v>6.6293600000000001</v>
      </c>
      <c r="D38" s="138">
        <f>Fx!J14</f>
        <v>131.96303734332579</v>
      </c>
      <c r="E38" s="65">
        <f>Fy!J14</f>
        <v>151.47829588030424</v>
      </c>
      <c r="F38" s="65">
        <v>318.8583078491335</v>
      </c>
      <c r="G38" s="138">
        <f t="shared" si="1"/>
        <v>971.10543476654709</v>
      </c>
      <c r="H38" s="138">
        <f t="shared" si="2"/>
        <v>17.267358282945889</v>
      </c>
      <c r="I38" s="138">
        <f t="shared" si="3"/>
        <v>1004.2041555770538</v>
      </c>
      <c r="J38" s="139">
        <f t="shared" si="4"/>
        <v>14.013316923754207</v>
      </c>
      <c r="M38" s="13"/>
      <c r="N38" s="13"/>
    </row>
    <row r="39" spans="1:15" x14ac:dyDescent="0.25">
      <c r="A39" s="58">
        <v>1</v>
      </c>
      <c r="B39" s="138">
        <f t="shared" si="0"/>
        <v>3.2662</v>
      </c>
      <c r="C39" s="138">
        <f>[10]SPI!$Q$18</f>
        <v>3.1844400000000004</v>
      </c>
      <c r="D39" s="138">
        <f>Fx!J15</f>
        <v>70.762788140623968</v>
      </c>
      <c r="E39" s="65">
        <f>Fy!J15</f>
        <v>81.227491993786316</v>
      </c>
      <c r="F39" s="65">
        <v>283.07849133537206</v>
      </c>
      <c r="G39" s="138">
        <f t="shared" si="1"/>
        <v>231.12541862490599</v>
      </c>
      <c r="H39" s="138">
        <f t="shared" si="2"/>
        <v>3.019899020986748</v>
      </c>
      <c r="I39" s="138">
        <f t="shared" si="3"/>
        <v>258.66407460469293</v>
      </c>
      <c r="J39" s="139">
        <f t="shared" si="4"/>
        <v>2.8706021999456888</v>
      </c>
      <c r="M39" s="13"/>
      <c r="N39" s="13"/>
    </row>
    <row r="40" spans="1:15" x14ac:dyDescent="0.25">
      <c r="A40" s="58" t="s">
        <v>225</v>
      </c>
      <c r="B40" s="15"/>
      <c r="C40" s="263"/>
      <c r="D40" s="262"/>
      <c r="E40" s="15"/>
      <c r="F40" s="15"/>
      <c r="G40" s="65">
        <f>SUM(G34:G39)</f>
        <v>20143.221303168779</v>
      </c>
      <c r="H40" s="138">
        <f>SUM(H34:H39)</f>
        <v>332.6413170680143</v>
      </c>
      <c r="I40" s="269">
        <f>SUM(I34:I39)</f>
        <v>20490.791933212353</v>
      </c>
      <c r="J40" s="139">
        <f>SUM(J34:J39)</f>
        <v>261.73245386993256</v>
      </c>
      <c r="M40" s="13"/>
      <c r="N40" s="13"/>
    </row>
    <row r="41" spans="1:15" x14ac:dyDescent="0.25">
      <c r="G41" s="264" t="s">
        <v>309</v>
      </c>
      <c r="H41" s="270">
        <f>2*PI()*SQRT(H40/G40)</f>
        <v>0.80742743529824546</v>
      </c>
      <c r="I41" s="268" t="s">
        <v>312</v>
      </c>
      <c r="J41" s="270">
        <f>2*PI()*SQRT(J40/I40)</f>
        <v>0.71011597876365518</v>
      </c>
      <c r="M41" s="13"/>
      <c r="N41" s="13"/>
    </row>
    <row r="42" spans="1:15" x14ac:dyDescent="0.25">
      <c r="I42" s="13"/>
      <c r="M42" s="13"/>
      <c r="N42" s="13"/>
    </row>
    <row r="43" spans="1:15" x14ac:dyDescent="0.25">
      <c r="B43" s="279" t="s">
        <v>327</v>
      </c>
      <c r="C43" s="279" t="s">
        <v>328</v>
      </c>
      <c r="D43" s="279" t="s">
        <v>326</v>
      </c>
      <c r="E43" s="282" t="s">
        <v>332</v>
      </c>
      <c r="F43" s="282" t="s">
        <v>333</v>
      </c>
      <c r="G43" s="282" t="s">
        <v>334</v>
      </c>
      <c r="I43" s="13"/>
      <c r="M43" s="13"/>
      <c r="N43" s="13"/>
    </row>
    <row r="44" spans="1:15" x14ac:dyDescent="0.25">
      <c r="A44" s="294" t="s">
        <v>176</v>
      </c>
      <c r="B44" s="279" t="s">
        <v>223</v>
      </c>
      <c r="C44" s="279" t="s">
        <v>223</v>
      </c>
      <c r="D44" s="279" t="s">
        <v>223</v>
      </c>
      <c r="E44" s="282" t="s">
        <v>231</v>
      </c>
      <c r="F44" s="282" t="s">
        <v>231</v>
      </c>
      <c r="G44" s="282" t="s">
        <v>231</v>
      </c>
      <c r="I44" s="13"/>
    </row>
    <row r="45" spans="1:15" x14ac:dyDescent="0.25">
      <c r="A45" s="294">
        <v>6</v>
      </c>
      <c r="B45" s="289">
        <f>E4</f>
        <v>20.262745023666199</v>
      </c>
      <c r="C45" s="290">
        <f>E14</f>
        <v>18.042542137917017</v>
      </c>
      <c r="D45" s="289">
        <f>[10]SPI!$P$2</f>
        <v>19.08192</v>
      </c>
      <c r="E45" s="286">
        <f t="shared" ref="E45:E50" si="5">F4</f>
        <v>15.173690749789767</v>
      </c>
      <c r="F45" s="286">
        <f t="shared" ref="F45:F50" si="6">E24</f>
        <v>15.508820984365324</v>
      </c>
      <c r="G45" s="285">
        <f t="shared" ref="G45:G50" si="7">C34</f>
        <v>16.60192</v>
      </c>
      <c r="I45" s="13"/>
      <c r="J45" s="13"/>
      <c r="K45" s="13"/>
      <c r="L45" s="13"/>
      <c r="M45" s="13"/>
      <c r="N45" s="13"/>
      <c r="O45" s="13"/>
    </row>
    <row r="46" spans="1:15" x14ac:dyDescent="0.25">
      <c r="A46" s="294">
        <v>5</v>
      </c>
      <c r="B46" s="289">
        <f t="shared" ref="B46:B50" si="8">E5</f>
        <v>18.161788734762929</v>
      </c>
      <c r="C46" s="290">
        <f t="shared" ref="C46:C50" si="9">E15</f>
        <v>16.644390819395891</v>
      </c>
      <c r="D46" s="289">
        <f>[10]SPI!$P$5</f>
        <v>16.882080000000002</v>
      </c>
      <c r="E46" s="286">
        <f t="shared" si="5"/>
        <v>13.674979142834079</v>
      </c>
      <c r="F46" s="286">
        <f t="shared" si="6"/>
        <v>14.314644635865285</v>
      </c>
      <c r="G46" s="285">
        <f t="shared" si="7"/>
        <v>14.91164</v>
      </c>
      <c r="I46" s="13" t="s">
        <v>392</v>
      </c>
      <c r="J46" s="13"/>
      <c r="K46" s="13"/>
      <c r="L46" s="13"/>
      <c r="M46" s="13"/>
      <c r="N46" s="13"/>
      <c r="O46" s="13"/>
    </row>
    <row r="47" spans="1:15" x14ac:dyDescent="0.25">
      <c r="A47" s="294">
        <v>4</v>
      </c>
      <c r="B47" s="289">
        <f t="shared" si="8"/>
        <v>15.146403079766049</v>
      </c>
      <c r="C47" s="290">
        <f t="shared" si="9"/>
        <v>13.982085692650251</v>
      </c>
      <c r="D47" s="289">
        <f>[10]SPI!$P$8</f>
        <v>14.02538</v>
      </c>
      <c r="E47" s="286">
        <f t="shared" si="5"/>
        <v>11.528496922641507</v>
      </c>
      <c r="F47" s="286">
        <f t="shared" si="6"/>
        <v>12.139238409531316</v>
      </c>
      <c r="G47" s="285">
        <f t="shared" si="7"/>
        <v>12.59572</v>
      </c>
      <c r="I47" t="s">
        <v>393</v>
      </c>
    </row>
    <row r="48" spans="1:15" x14ac:dyDescent="0.25">
      <c r="A48" s="294">
        <v>3</v>
      </c>
      <c r="B48" s="289">
        <f t="shared" si="8"/>
        <v>11.775532996822466</v>
      </c>
      <c r="C48" s="290">
        <f t="shared" si="9"/>
        <v>10.396700606322716</v>
      </c>
      <c r="D48" s="289">
        <f>[10]SPI!$P$11</f>
        <v>10.709519999999999</v>
      </c>
      <c r="E48" s="286">
        <f t="shared" si="5"/>
        <v>9.0871211930835507</v>
      </c>
      <c r="F48" s="286">
        <f t="shared" si="6"/>
        <v>9.2095708210020994</v>
      </c>
      <c r="G48" s="285">
        <f t="shared" si="7"/>
        <v>9.8398000000000003</v>
      </c>
    </row>
    <row r="49" spans="1:15" x14ac:dyDescent="0.25">
      <c r="A49" s="294">
        <v>2</v>
      </c>
      <c r="B49" s="289">
        <f t="shared" si="8"/>
        <v>7.7456176215040298</v>
      </c>
      <c r="C49" s="290">
        <f t="shared" si="9"/>
        <v>6.8386600796384265</v>
      </c>
      <c r="D49" s="289">
        <f>[10]SPI!$P$14</f>
        <v>7.3589200000000003</v>
      </c>
      <c r="E49" s="286">
        <f t="shared" si="5"/>
        <v>6.1684273996747407</v>
      </c>
      <c r="F49" s="286">
        <f t="shared" si="6"/>
        <v>6.2515474135805373</v>
      </c>
      <c r="G49" s="285">
        <f t="shared" si="7"/>
        <v>6.6293600000000001</v>
      </c>
    </row>
    <row r="50" spans="1:15" x14ac:dyDescent="0.25">
      <c r="A50" s="294">
        <v>1</v>
      </c>
      <c r="B50" s="289">
        <f t="shared" si="8"/>
        <v>3.2654633830780191</v>
      </c>
      <c r="C50" s="290">
        <f t="shared" si="9"/>
        <v>2.8831005054236623</v>
      </c>
      <c r="D50" s="289">
        <f>[10]SPI!$P$17</f>
        <v>3.2662</v>
      </c>
      <c r="E50" s="286">
        <f t="shared" si="5"/>
        <v>2.9236450279915864</v>
      </c>
      <c r="F50" s="286">
        <f t="shared" si="6"/>
        <v>2.9630413602553149</v>
      </c>
      <c r="G50" s="285">
        <f t="shared" si="7"/>
        <v>3.1844400000000004</v>
      </c>
      <c r="J50" s="329" t="s">
        <v>394</v>
      </c>
      <c r="K50" s="329" t="s">
        <v>395</v>
      </c>
      <c r="L50" s="329" t="s">
        <v>396</v>
      </c>
      <c r="M50" s="331" t="s">
        <v>399</v>
      </c>
    </row>
    <row r="51" spans="1:15" x14ac:dyDescent="0.25">
      <c r="B51" s="279" t="s">
        <v>329</v>
      </c>
      <c r="C51" s="280" t="s">
        <v>330</v>
      </c>
      <c r="D51" s="280" t="s">
        <v>331</v>
      </c>
      <c r="E51" s="282" t="s">
        <v>329</v>
      </c>
      <c r="F51" s="283" t="s">
        <v>336</v>
      </c>
      <c r="G51" s="283" t="s">
        <v>335</v>
      </c>
      <c r="I51" s="329" t="s">
        <v>397</v>
      </c>
      <c r="J51" s="260">
        <f>[8]Dati!$D$28</f>
        <v>8.5191911065204684E-2</v>
      </c>
      <c r="K51" s="260">
        <f>[11]Dati!$D$28</f>
        <v>8.3347391535355614E-2</v>
      </c>
      <c r="L51" s="260">
        <f>J51/K51</f>
        <v>1.0221305009775457</v>
      </c>
      <c r="M51" s="260">
        <f>L51-1</f>
        <v>2.2130500977545653E-2</v>
      </c>
    </row>
    <row r="52" spans="1:15" x14ac:dyDescent="0.25">
      <c r="B52" s="291">
        <f>'masse e forze'!B21</f>
        <v>0.7013114556897867</v>
      </c>
      <c r="C52" s="291">
        <f>A14</f>
        <v>0.79396810039451493</v>
      </c>
      <c r="D52" s="291">
        <f>H41</f>
        <v>0.80742743529824546</v>
      </c>
      <c r="E52" s="287">
        <f>A4</f>
        <v>0.7013114556897867</v>
      </c>
      <c r="F52" s="287">
        <f>A24</f>
        <v>0.69167956685069887</v>
      </c>
      <c r="G52" s="288">
        <f>J41</f>
        <v>0.71011597876365518</v>
      </c>
      <c r="I52" s="329" t="s">
        <v>398</v>
      </c>
      <c r="J52" s="260">
        <f>[9]Dati!$D$28</f>
        <v>9.7790455348262806E-2</v>
      </c>
      <c r="K52" s="260">
        <f>[12]Dati!$D$28</f>
        <v>9.4765235143950535E-2</v>
      </c>
      <c r="L52" s="260">
        <f>J52/K52</f>
        <v>1.0319233123805043</v>
      </c>
      <c r="M52" s="260">
        <f>L52-1</f>
        <v>3.1923312380504276E-2</v>
      </c>
    </row>
    <row r="53" spans="1:15" x14ac:dyDescent="0.25">
      <c r="A53" s="294" t="s">
        <v>176</v>
      </c>
      <c r="B53" s="279" t="s">
        <v>343</v>
      </c>
      <c r="C53" s="279" t="s">
        <v>344</v>
      </c>
      <c r="D53" s="279" t="s">
        <v>345</v>
      </c>
      <c r="E53" s="282" t="s">
        <v>346</v>
      </c>
      <c r="F53" s="282" t="s">
        <v>347</v>
      </c>
      <c r="G53" s="282" t="s">
        <v>348</v>
      </c>
    </row>
    <row r="54" spans="1:15" ht="14.25" customHeight="1" x14ac:dyDescent="0.25">
      <c r="A54" s="294">
        <v>6</v>
      </c>
      <c r="B54" s="289">
        <f>I4</f>
        <v>50.507084378358513</v>
      </c>
      <c r="C54" s="289">
        <f>I14</f>
        <v>63.920270394583532</v>
      </c>
      <c r="D54" s="292">
        <f>[10]PIL!$N$2</f>
        <v>100.72799999999999</v>
      </c>
      <c r="E54" s="285">
        <f t="shared" ref="E54:E60" si="10">I4</f>
        <v>50.507084378358513</v>
      </c>
      <c r="F54" s="285">
        <f t="shared" ref="F54:F60" si="11">I24</f>
        <v>49.917394971987136</v>
      </c>
      <c r="G54" s="285">
        <f>[10]PIL!$O$2</f>
        <v>73.55</v>
      </c>
      <c r="I54" t="s">
        <v>402</v>
      </c>
    </row>
    <row r="55" spans="1:15" x14ac:dyDescent="0.25">
      <c r="A55" s="294">
        <v>5</v>
      </c>
      <c r="B55" s="289">
        <f t="shared" ref="B55:B60" si="12">I5</f>
        <v>110.7891248768837</v>
      </c>
      <c r="C55" s="289">
        <f t="shared" ref="C55:C60" si="13">I15</f>
        <v>112.72556103698506</v>
      </c>
      <c r="D55" s="292">
        <f>[10]PIL!$N$6</f>
        <v>118.05800000000001</v>
      </c>
      <c r="E55" s="285">
        <f t="shared" si="10"/>
        <v>110.7891248768837</v>
      </c>
      <c r="F55" s="285">
        <f t="shared" si="11"/>
        <v>88.177911452517094</v>
      </c>
      <c r="G55" s="285">
        <f>[10]PIL!$O$6</f>
        <v>100.60299999999999</v>
      </c>
      <c r="I55" t="s">
        <v>403</v>
      </c>
      <c r="J55" s="334">
        <f>'masse e forze'!B21/(MIN('Confronto p-s err'!H41,'Confronto p-s err'!J41))</f>
        <v>0.98760128861035124</v>
      </c>
      <c r="K55" s="13"/>
      <c r="L55" s="13"/>
      <c r="M55" s="13"/>
      <c r="N55" s="13"/>
      <c r="O55" s="13"/>
    </row>
    <row r="56" spans="1:15" x14ac:dyDescent="0.25">
      <c r="A56" s="294">
        <v>4</v>
      </c>
      <c r="B56" s="289">
        <f t="shared" si="12"/>
        <v>149.20216021460143</v>
      </c>
      <c r="C56" s="289">
        <f t="shared" si="13"/>
        <v>151.81000153951359</v>
      </c>
      <c r="D56" s="292">
        <f>[10]PIL!$N$10</f>
        <v>178.95400000000001</v>
      </c>
      <c r="E56" s="285">
        <f t="shared" si="10"/>
        <v>149.20216021460143</v>
      </c>
      <c r="F56" s="285">
        <f t="shared" si="11"/>
        <v>118.75113993857786</v>
      </c>
      <c r="G56" s="285">
        <f>[10]PIL!$O$10</f>
        <v>151.12899999999999</v>
      </c>
      <c r="K56" t="s">
        <v>90</v>
      </c>
      <c r="M56" s="13"/>
      <c r="N56" s="13"/>
      <c r="O56" s="13"/>
    </row>
    <row r="57" spans="1:15" x14ac:dyDescent="0.25">
      <c r="A57" s="294">
        <v>3</v>
      </c>
      <c r="B57" s="289">
        <f t="shared" si="12"/>
        <v>178.37296148610139</v>
      </c>
      <c r="C57" s="289">
        <f t="shared" si="13"/>
        <v>182.87884381682881</v>
      </c>
      <c r="D57" s="292">
        <f>[10]PIL!$N$14</f>
        <v>197.56399999999999</v>
      </c>
      <c r="E57" s="285">
        <f t="shared" si="10"/>
        <v>178.37296148610139</v>
      </c>
      <c r="F57" s="285">
        <f t="shared" si="11"/>
        <v>145.92439157766387</v>
      </c>
      <c r="G57" s="285">
        <f>[10]PIL!$O$14</f>
        <v>175.46799999999999</v>
      </c>
      <c r="M57" s="13"/>
      <c r="N57" s="13"/>
      <c r="O57" s="13"/>
    </row>
    <row r="58" spans="1:15" x14ac:dyDescent="0.25">
      <c r="A58" s="294">
        <v>2</v>
      </c>
      <c r="B58" s="289">
        <f t="shared" si="12"/>
        <v>198.30152869138351</v>
      </c>
      <c r="C58" s="289">
        <f t="shared" si="13"/>
        <v>203.31082688793987</v>
      </c>
      <c r="D58" s="292">
        <f>[10]PIL!$N$18</f>
        <v>205.81700000000001</v>
      </c>
      <c r="E58" s="285">
        <f t="shared" si="10"/>
        <v>198.30152869138351</v>
      </c>
      <c r="F58" s="285">
        <f t="shared" si="11"/>
        <v>162.22766994573635</v>
      </c>
      <c r="G58" s="285">
        <f>[10]PIL!$O$18</f>
        <v>193.101</v>
      </c>
      <c r="M58" s="13"/>
      <c r="N58" s="13"/>
      <c r="O58" s="13"/>
    </row>
    <row r="59" spans="1:15" x14ac:dyDescent="0.25">
      <c r="A59" s="294" t="s">
        <v>339</v>
      </c>
      <c r="B59" s="289">
        <f t="shared" si="12"/>
        <v>193.31377219316425</v>
      </c>
      <c r="C59" s="289">
        <f t="shared" si="13"/>
        <v>161.39684015652858</v>
      </c>
      <c r="D59" s="292">
        <f>[10]PIL!$N$22</f>
        <v>148.994</v>
      </c>
      <c r="E59" s="285">
        <f t="shared" si="10"/>
        <v>193.31377219316425</v>
      </c>
      <c r="F59" s="285">
        <f t="shared" si="11"/>
        <v>162.7396431597823</v>
      </c>
      <c r="G59" s="285">
        <f>[10]PIL!$O$22</f>
        <v>174.68</v>
      </c>
      <c r="M59" s="13"/>
      <c r="N59" s="13"/>
      <c r="O59" s="13"/>
    </row>
    <row r="60" spans="1:15" x14ac:dyDescent="0.25">
      <c r="A60" s="294" t="s">
        <v>340</v>
      </c>
      <c r="B60" s="289">
        <f t="shared" si="12"/>
        <v>289.97065828974638</v>
      </c>
      <c r="C60" s="289">
        <f t="shared" si="13"/>
        <v>242.09526023479285</v>
      </c>
      <c r="D60" s="292">
        <f>[10]PIL!$N$26</f>
        <v>-263.85399999999998</v>
      </c>
      <c r="E60" s="285">
        <f t="shared" si="10"/>
        <v>289.97065828974638</v>
      </c>
      <c r="F60" s="285">
        <f t="shared" si="11"/>
        <v>244.10946473967348</v>
      </c>
      <c r="G60" s="285">
        <f>[10]PIL!$O$26</f>
        <v>-276.47699999999998</v>
      </c>
      <c r="M60" s="13"/>
      <c r="N60" s="13"/>
      <c r="O60" s="13"/>
    </row>
    <row r="61" spans="1:15" x14ac:dyDescent="0.25">
      <c r="M61" s="13"/>
      <c r="N61" s="13"/>
      <c r="O61" s="13"/>
    </row>
    <row r="62" spans="1:15" x14ac:dyDescent="0.25">
      <c r="A62" s="294" t="s">
        <v>176</v>
      </c>
      <c r="B62" s="281" t="s">
        <v>349</v>
      </c>
      <c r="C62" s="281" t="s">
        <v>350</v>
      </c>
      <c r="D62" s="293" t="s">
        <v>353</v>
      </c>
      <c r="E62" s="293" t="s">
        <v>354</v>
      </c>
      <c r="F62" s="284" t="s">
        <v>351</v>
      </c>
      <c r="G62" s="284" t="s">
        <v>352</v>
      </c>
      <c r="H62" s="295" t="s">
        <v>355</v>
      </c>
      <c r="I62" s="295" t="s">
        <v>356</v>
      </c>
      <c r="M62" s="13"/>
      <c r="N62" s="13"/>
      <c r="O62" s="13"/>
    </row>
    <row r="63" spans="1:15" x14ac:dyDescent="0.25">
      <c r="A63" s="294">
        <v>6</v>
      </c>
      <c r="B63" s="289">
        <f>H4</f>
        <v>25.253542189179257</v>
      </c>
      <c r="C63" s="289">
        <f>H14</f>
        <v>31.960135197291766</v>
      </c>
      <c r="D63" s="289">
        <f>[10]TRA!$N$3</f>
        <v>56.442999999999998</v>
      </c>
      <c r="E63" s="289">
        <f>[10]TRA!$N$2</f>
        <v>56.472000000000001</v>
      </c>
      <c r="F63" s="285">
        <f>H4</f>
        <v>25.253542189179257</v>
      </c>
      <c r="G63" s="285">
        <f>H24</f>
        <v>24.958697485993568</v>
      </c>
      <c r="H63" s="285">
        <f>[10]TRA!$O$3</f>
        <v>44.128</v>
      </c>
      <c r="I63" s="285">
        <f>[10]TRA!$O$2</f>
        <v>44.313000000000002</v>
      </c>
      <c r="M63" s="13"/>
      <c r="N63" s="13"/>
      <c r="O63" s="13"/>
    </row>
    <row r="64" spans="1:15" x14ac:dyDescent="0.25">
      <c r="A64" s="294">
        <v>5</v>
      </c>
      <c r="B64" s="289">
        <f t="shared" ref="B64:B68" si="14">H5</f>
        <v>80.648104627621109</v>
      </c>
      <c r="C64" s="289">
        <f t="shared" ref="C64:C68" si="15">H15</f>
        <v>88.322915715784291</v>
      </c>
      <c r="D64" s="289">
        <f>[10]TRA!$N$7</f>
        <v>91.578000000000003</v>
      </c>
      <c r="E64" s="289">
        <f>[10]TRA!$N$6</f>
        <v>91.567999999999998</v>
      </c>
      <c r="F64" s="285">
        <f t="shared" ref="F64:F68" si="16">H5</f>
        <v>80.648104627621109</v>
      </c>
      <c r="G64" s="285">
        <f t="shared" ref="G64:G68" si="17">H25</f>
        <v>69.047653212252115</v>
      </c>
      <c r="H64" s="285">
        <f>[10]TRA!$O$7</f>
        <v>75.244</v>
      </c>
      <c r="I64" s="285">
        <f>[10]TRA!$O$6</f>
        <v>75.114000000000004</v>
      </c>
      <c r="M64" s="13"/>
      <c r="N64" s="13"/>
      <c r="O64" s="13"/>
    </row>
    <row r="65" spans="1:17" x14ac:dyDescent="0.25">
      <c r="A65" s="294">
        <v>4</v>
      </c>
      <c r="B65" s="289">
        <f t="shared" si="14"/>
        <v>129.99564254574256</v>
      </c>
      <c r="C65" s="289">
        <f t="shared" si="15"/>
        <v>132.26778128824932</v>
      </c>
      <c r="D65" s="289">
        <f>[10]TRA!$N$11</f>
        <v>156.56299999999999</v>
      </c>
      <c r="E65" s="289">
        <f>[10]TRA!$N$10</f>
        <v>156.989</v>
      </c>
      <c r="F65" s="285">
        <f t="shared" si="16"/>
        <v>129.99564254574256</v>
      </c>
      <c r="G65" s="285">
        <f t="shared" si="17"/>
        <v>103.46452569554748</v>
      </c>
      <c r="H65" s="285">
        <f>[10]TRA!$O$11</f>
        <v>132.99199999999999</v>
      </c>
      <c r="I65" s="285">
        <f>[10]TRA!$O$10</f>
        <v>133.96700000000001</v>
      </c>
    </row>
    <row r="66" spans="1:17" x14ac:dyDescent="0.25">
      <c r="A66" s="294">
        <v>3</v>
      </c>
      <c r="B66" s="289">
        <f t="shared" si="14"/>
        <v>163.78756085035141</v>
      </c>
      <c r="C66" s="289">
        <f t="shared" si="15"/>
        <v>167.34442267817121</v>
      </c>
      <c r="D66" s="289">
        <f>[10]TRA!$N$15</f>
        <v>196.102</v>
      </c>
      <c r="E66" s="289">
        <f>[10]TRA!$N$14</f>
        <v>196.102</v>
      </c>
      <c r="F66" s="285">
        <f t="shared" si="16"/>
        <v>163.78756085035141</v>
      </c>
      <c r="G66" s="285">
        <f t="shared" si="17"/>
        <v>132.33776575812087</v>
      </c>
      <c r="H66" s="285">
        <f>[10]TRA!$O$15</f>
        <v>164.19300000000001</v>
      </c>
      <c r="I66" s="285">
        <f>[10]TRA!$O$14</f>
        <v>160.03899999999999</v>
      </c>
    </row>
    <row r="67" spans="1:17" x14ac:dyDescent="0.25">
      <c r="A67" s="294">
        <v>2</v>
      </c>
      <c r="B67" s="289">
        <f t="shared" si="14"/>
        <v>188.33724508874246</v>
      </c>
      <c r="C67" s="289">
        <f t="shared" si="15"/>
        <v>193.09483535238434</v>
      </c>
      <c r="D67" s="289">
        <f>[10]TRA!$N$19</f>
        <v>235.047</v>
      </c>
      <c r="E67" s="289">
        <f>[10]TRA!$N$18</f>
        <v>235.047</v>
      </c>
      <c r="F67" s="285">
        <f t="shared" si="16"/>
        <v>188.33724508874246</v>
      </c>
      <c r="G67" s="285">
        <f t="shared" si="17"/>
        <v>154.07603076170011</v>
      </c>
      <c r="H67" s="285">
        <f>[10]TRA!$O$19</f>
        <v>193.09299999999999</v>
      </c>
      <c r="I67" s="285">
        <f>[10]TRA!$O$18</f>
        <v>178.99</v>
      </c>
    </row>
    <row r="68" spans="1:17" x14ac:dyDescent="0.25">
      <c r="A68" s="294">
        <v>1</v>
      </c>
      <c r="B68" s="289">
        <f t="shared" si="14"/>
        <v>195.80765044227388</v>
      </c>
      <c r="C68" s="289">
        <f t="shared" si="15"/>
        <v>182.35383352223423</v>
      </c>
      <c r="D68" s="289">
        <f>[10]TRA!$N$23</f>
        <v>242.773</v>
      </c>
      <c r="E68" s="289">
        <f>[10]TRA!$N$22</f>
        <v>242.773</v>
      </c>
      <c r="F68" s="285">
        <f t="shared" si="16"/>
        <v>195.80765044227388</v>
      </c>
      <c r="G68" s="285">
        <f t="shared" si="17"/>
        <v>162.48365655275933</v>
      </c>
      <c r="H68" s="285">
        <f>[10]TRA!$O$23</f>
        <v>211.94300000000001</v>
      </c>
      <c r="I68" s="285">
        <f>[10]TRA!$O$22</f>
        <v>192.70099999999999</v>
      </c>
    </row>
    <row r="70" spans="1:17" x14ac:dyDescent="0.25">
      <c r="A70" s="294" t="s">
        <v>176</v>
      </c>
      <c r="B70" s="293" t="s">
        <v>357</v>
      </c>
      <c r="C70" s="293" t="s">
        <v>358</v>
      </c>
      <c r="D70" s="293" t="s">
        <v>359</v>
      </c>
      <c r="E70" s="295" t="s">
        <v>360</v>
      </c>
      <c r="F70" s="295" t="s">
        <v>361</v>
      </c>
      <c r="G70" s="295" t="s">
        <v>362</v>
      </c>
    </row>
    <row r="71" spans="1:17" x14ac:dyDescent="0.25">
      <c r="A71" s="294">
        <v>6</v>
      </c>
      <c r="B71" s="289">
        <f>'masse e forze'!Q10</f>
        <v>39.458659670592588</v>
      </c>
      <c r="C71" s="289">
        <f>Fx!O10</f>
        <v>39.950168996614707</v>
      </c>
      <c r="D71" s="292">
        <f>[10]PIL!$N$4</f>
        <v>48.368000000000002</v>
      </c>
      <c r="E71" s="285">
        <f>'masse e forze'!Q10</f>
        <v>39.458659670592588</v>
      </c>
      <c r="F71" s="285">
        <f>Fy!O10</f>
        <v>31.19837185749196</v>
      </c>
      <c r="G71" s="285">
        <f>[10]PIL!$O$4</f>
        <v>34.524999999999999</v>
      </c>
      <c r="H71" s="296" t="s">
        <v>363</v>
      </c>
      <c r="I71" s="296"/>
      <c r="J71" s="296"/>
      <c r="K71" s="296"/>
      <c r="L71" s="296"/>
      <c r="M71" s="296"/>
    </row>
    <row r="72" spans="1:17" x14ac:dyDescent="0.25">
      <c r="A72" s="294">
        <v>5</v>
      </c>
      <c r="B72" s="289">
        <f>'masse e forze'!Q11</f>
        <v>69.243203048052308</v>
      </c>
      <c r="C72" s="289">
        <f>Fx!O11</f>
        <v>70.453475648115656</v>
      </c>
      <c r="D72" s="292">
        <f>[10]PIL!$N$8</f>
        <v>74.58</v>
      </c>
      <c r="E72" s="285">
        <f>'masse e forze'!Q11</f>
        <v>69.243203048052308</v>
      </c>
      <c r="F72" s="285">
        <f>Fy!O11</f>
        <v>55.111194657823177</v>
      </c>
      <c r="G72" s="285">
        <f>[10]PIL!$O$8</f>
        <v>62.6</v>
      </c>
      <c r="H72" s="296" t="s">
        <v>364</v>
      </c>
      <c r="I72" s="296"/>
      <c r="J72" s="296"/>
      <c r="K72" s="296"/>
      <c r="L72" s="296"/>
      <c r="M72" s="296"/>
    </row>
    <row r="73" spans="1:17" x14ac:dyDescent="0.25">
      <c r="A73" s="294">
        <v>4</v>
      </c>
      <c r="B73" s="289">
        <f>'masse e forze'!Q12</f>
        <v>93.2513501341259</v>
      </c>
      <c r="C73" s="289">
        <f>Fx!O12</f>
        <v>94.881250962195992</v>
      </c>
      <c r="D73" s="292">
        <f>[10]PIL!$N$12</f>
        <v>105.803</v>
      </c>
      <c r="E73" s="285">
        <f>'masse e forze'!Q12</f>
        <v>93.2513501341259</v>
      </c>
      <c r="F73" s="285">
        <f>Fy!O12</f>
        <v>74.219462461611158</v>
      </c>
      <c r="G73" s="285">
        <f>[10]PIL!$O$12</f>
        <v>89.177999999999997</v>
      </c>
    </row>
    <row r="74" spans="1:17" x14ac:dyDescent="0.25">
      <c r="A74" s="294">
        <v>3</v>
      </c>
      <c r="B74" s="289">
        <f>'masse e forze'!Q13</f>
        <v>111.48310092881336</v>
      </c>
      <c r="C74" s="289">
        <f>Fx!O13</f>
        <v>114.299277385518</v>
      </c>
      <c r="D74" s="292">
        <f>[10]PIL!$N$16</f>
        <v>120.17400000000001</v>
      </c>
      <c r="E74" s="285">
        <f>'masse e forze'!Q13</f>
        <v>111.48310092881336</v>
      </c>
      <c r="F74" s="285">
        <f>Fy!O13</f>
        <v>91.202744736039918</v>
      </c>
      <c r="G74" s="285">
        <f>[10]PIL!$O$16</f>
        <v>105.871</v>
      </c>
    </row>
    <row r="75" spans="1:17" x14ac:dyDescent="0.25">
      <c r="A75" s="294">
        <v>2</v>
      </c>
      <c r="B75" s="289">
        <f>'masse e forze'!Q14</f>
        <v>123.93845543211468</v>
      </c>
      <c r="C75" s="289">
        <f>Fx!O14</f>
        <v>127.06926680496241</v>
      </c>
      <c r="D75" s="292">
        <f>[10]PIL!$N$20</f>
        <v>132.74799999999999</v>
      </c>
      <c r="E75" s="285">
        <f>'masse e forze'!Q14</f>
        <v>123.93845543211468</v>
      </c>
      <c r="F75" s="285">
        <f>Fy!O14</f>
        <v>101.39229371608522</v>
      </c>
      <c r="G75" s="285">
        <f>[10]PIL!$O$20</f>
        <v>121.26</v>
      </c>
    </row>
    <row r="76" spans="1:17" x14ac:dyDescent="0.25">
      <c r="A76" s="294">
        <v>1</v>
      </c>
      <c r="B76" s="289">
        <f>'masse e forze'!Q15</f>
        <v>130.61741364402988</v>
      </c>
      <c r="C76" s="289">
        <f>Fx!O15</f>
        <v>109.05191902468145</v>
      </c>
      <c r="D76" s="292">
        <f>[10]PIL!$N$24</f>
        <v>111.581</v>
      </c>
      <c r="E76" s="285">
        <f>'masse e forze'!Q15</f>
        <v>130.61741364402988</v>
      </c>
      <c r="F76" s="285">
        <f>Fy!O15</f>
        <v>109.95921835120426</v>
      </c>
      <c r="G76" s="285">
        <f>[10]PIL!$O$24</f>
        <v>121.935</v>
      </c>
    </row>
    <row r="78" spans="1:17" x14ac:dyDescent="0.25">
      <c r="B78" s="301" t="s">
        <v>365</v>
      </c>
      <c r="D78" s="302" t="s">
        <v>366</v>
      </c>
      <c r="F78" s="303" t="s">
        <v>367</v>
      </c>
      <c r="H78" s="308" t="s">
        <v>368</v>
      </c>
      <c r="J78" s="307" t="s">
        <v>369</v>
      </c>
      <c r="L78" s="306" t="s">
        <v>370</v>
      </c>
      <c r="N78" s="309" t="s">
        <v>371</v>
      </c>
      <c r="P78" s="312" t="s">
        <v>372</v>
      </c>
    </row>
    <row r="79" spans="1:17" x14ac:dyDescent="0.25">
      <c r="A79" s="294" t="s">
        <v>176</v>
      </c>
      <c r="B79" s="299" t="s">
        <v>373</v>
      </c>
      <c r="C79" s="300" t="s">
        <v>318</v>
      </c>
      <c r="D79" s="299" t="s">
        <v>373</v>
      </c>
      <c r="E79" s="300" t="s">
        <v>318</v>
      </c>
      <c r="F79" s="299" t="s">
        <v>373</v>
      </c>
      <c r="G79" s="300" t="s">
        <v>318</v>
      </c>
      <c r="H79" s="299" t="s">
        <v>373</v>
      </c>
      <c r="I79" s="300" t="s">
        <v>318</v>
      </c>
      <c r="J79" s="299" t="s">
        <v>373</v>
      </c>
      <c r="K79" s="300" t="s">
        <v>318</v>
      </c>
      <c r="L79" s="299" t="s">
        <v>373</v>
      </c>
      <c r="M79" s="300" t="s">
        <v>318</v>
      </c>
      <c r="N79" s="299" t="s">
        <v>373</v>
      </c>
      <c r="O79" s="300" t="s">
        <v>318</v>
      </c>
      <c r="P79" s="299" t="s">
        <v>373</v>
      </c>
      <c r="Q79" s="300" t="s">
        <v>318</v>
      </c>
    </row>
    <row r="80" spans="1:17" x14ac:dyDescent="0.25">
      <c r="A80" s="294">
        <v>6</v>
      </c>
      <c r="B80" s="138">
        <f>'rig terrazza'!AA21</f>
        <v>27.753292365505175</v>
      </c>
      <c r="C80" s="298">
        <f>[10]Rig!$K$2</f>
        <v>15.859000000000002</v>
      </c>
      <c r="D80" s="138">
        <f>'rig terrazza'!AA26</f>
        <v>67.24222519573803</v>
      </c>
      <c r="E80" s="138">
        <f>[10]Rig!$K$8</f>
        <v>59.103000000000002</v>
      </c>
      <c r="F80" s="138">
        <f>'rig terrazza'!AA14</f>
        <v>7.5628736988824219</v>
      </c>
      <c r="G80" s="138">
        <f>[10]Rig!$K$14</f>
        <v>9.1009999999999991</v>
      </c>
      <c r="H80" s="138">
        <f>'rig terrazza'!AA17</f>
        <v>25.489899803415536</v>
      </c>
      <c r="I80" s="138">
        <f>[10]Rig!$K$20</f>
        <v>20.738</v>
      </c>
      <c r="J80" s="138">
        <f>'rig terrazza'!AA9</f>
        <v>24.822884167955547</v>
      </c>
      <c r="K80" s="138">
        <f>[10]Rig!$K$26</f>
        <v>24.682000000000002</v>
      </c>
      <c r="L80" s="138">
        <f>'rig terrazza'!AA7</f>
        <v>24.168083181457934</v>
      </c>
      <c r="M80" s="333">
        <f>[10]Rig!$K$32</f>
        <v>9.51</v>
      </c>
      <c r="N80" s="138">
        <f>'rig terrazza'!G2+'rig terrazza'!K2</f>
        <v>24.168083181457934</v>
      </c>
      <c r="O80" s="138">
        <f>[10]Rig!$K$38</f>
        <v>19.414999999999999</v>
      </c>
      <c r="P80" s="138">
        <f>N80</f>
        <v>24.168083181457934</v>
      </c>
      <c r="Q80" s="138">
        <f>[10]Rig!$K$44</f>
        <v>18.668000000000003</v>
      </c>
    </row>
    <row r="81" spans="1:17" x14ac:dyDescent="0.25">
      <c r="A81" s="294">
        <v>5</v>
      </c>
      <c r="B81" s="297">
        <f>'rig p.5'!AA21</f>
        <v>34.45874649091396</v>
      </c>
      <c r="C81" s="138">
        <f>[10]Rig!$K$3</f>
        <v>28.548999999999999</v>
      </c>
      <c r="D81" s="138">
        <f>'rig p.5'!AA26</f>
        <v>83.800209715928176</v>
      </c>
      <c r="E81" s="138">
        <f>[10]Rig!$K$9</f>
        <v>77.055999999999997</v>
      </c>
      <c r="F81" s="138">
        <f>'rig p.5'!AA14</f>
        <v>7.5628736988824219</v>
      </c>
      <c r="G81" s="138">
        <f>[10]Rig!$K$15</f>
        <v>8.4039999999999999</v>
      </c>
      <c r="H81" s="138">
        <f>'rig p.5'!AA17</f>
        <v>29.993172777614614</v>
      </c>
      <c r="I81" s="138">
        <f>[10]Rig!$K$21</f>
        <v>26.31</v>
      </c>
      <c r="J81" s="138">
        <f>'rig p.5'!AA9</f>
        <v>27.123975990944924</v>
      </c>
      <c r="K81" s="138">
        <f>[10]Rig!$K$27</f>
        <v>25.143999999999998</v>
      </c>
      <c r="L81" s="138">
        <f>'rig p.5'!AA7</f>
        <v>30.873537306866716</v>
      </c>
      <c r="M81" s="333">
        <f>[10]Rig!$K$33</f>
        <v>23.771999999999998</v>
      </c>
      <c r="N81" s="138">
        <f>'rig p.5'!G2+'rig p.5'!K2</f>
        <v>30.873537306866716</v>
      </c>
      <c r="O81" s="138">
        <f>[10]Rig!$K$39</f>
        <v>28.398999999999997</v>
      </c>
      <c r="P81" s="138">
        <f t="shared" ref="P81:P84" si="18">N81</f>
        <v>30.873537306866716</v>
      </c>
      <c r="Q81" s="138">
        <f>[10]Rig!$K$45</f>
        <v>28.313000000000002</v>
      </c>
    </row>
    <row r="82" spans="1:17" x14ac:dyDescent="0.25">
      <c r="A82" s="294">
        <v>4</v>
      </c>
      <c r="B82" s="297">
        <f>B83</f>
        <v>41.936890310889176</v>
      </c>
      <c r="C82" s="138">
        <f>[10]Rig!$K$4</f>
        <v>34.53</v>
      </c>
      <c r="D82" s="138">
        <f>D83</f>
        <v>102.6001215413375</v>
      </c>
      <c r="E82" s="138">
        <f>[10]Rig!$K$10</f>
        <v>93.207999999999998</v>
      </c>
      <c r="F82" s="297">
        <f>F83</f>
        <v>7.5628736988824219</v>
      </c>
      <c r="G82" s="138">
        <f>[10]Rig!$K$16</f>
        <v>8.07</v>
      </c>
      <c r="H82" s="138">
        <f>H83</f>
        <v>35.050720351999338</v>
      </c>
      <c r="I82" s="138">
        <f>[10]Rig!$K$22</f>
        <v>29.32</v>
      </c>
      <c r="J82" s="138">
        <f>J83</f>
        <v>29.760927319739142</v>
      </c>
      <c r="K82" s="138">
        <f>[10]Rig!$K$28</f>
        <v>26.946999999999996</v>
      </c>
      <c r="L82" s="138">
        <f>L83</f>
        <v>38.351681126841932</v>
      </c>
      <c r="M82" s="333">
        <f>[10]Rig!$K$34</f>
        <v>30.122</v>
      </c>
      <c r="N82" s="138">
        <f>N83</f>
        <v>38.351681126841932</v>
      </c>
      <c r="O82" s="138">
        <f>[10]Rig!$K$40</f>
        <v>33.811999999999998</v>
      </c>
      <c r="P82" s="138">
        <f t="shared" si="18"/>
        <v>38.351681126841932</v>
      </c>
      <c r="Q82" s="138">
        <f>[10]Rig!$K$46</f>
        <v>33.944000000000003</v>
      </c>
    </row>
    <row r="83" spans="1:17" x14ac:dyDescent="0.25">
      <c r="A83" s="294">
        <v>3</v>
      </c>
      <c r="B83" s="297">
        <f>'rig piano tipo'!AA21</f>
        <v>41.936890310889176</v>
      </c>
      <c r="C83" s="138">
        <f>[10]Rig!$K$5</f>
        <v>39.022999999999996</v>
      </c>
      <c r="D83" s="138">
        <f>'rig piano tipo'!AA26</f>
        <v>102.6001215413375</v>
      </c>
      <c r="E83" s="138">
        <f>[10]Rig!$K$11</f>
        <v>96.114999999999995</v>
      </c>
      <c r="F83" s="138">
        <f>'rig piano tipo'!AA14</f>
        <v>7.5628736988824219</v>
      </c>
      <c r="G83" s="138">
        <f>[10]Rig!$K$17</f>
        <v>8.661999999999999</v>
      </c>
      <c r="H83" s="138">
        <f>'rig piano tipo'!AA17</f>
        <v>35.050720351999338</v>
      </c>
      <c r="I83" s="138">
        <f>[10]Rig!$K$23</f>
        <v>31.486000000000001</v>
      </c>
      <c r="J83" s="138">
        <f>'rig piano tipo'!AA9</f>
        <v>29.760927319739142</v>
      </c>
      <c r="K83" s="138">
        <f>[10]Rig!$K$29</f>
        <v>28.018999999999998</v>
      </c>
      <c r="L83" s="138">
        <f>'rig piano tipo'!AA7</f>
        <v>38.351681126841932</v>
      </c>
      <c r="M83" s="333">
        <f>[10]Rig!$K$35</f>
        <v>34.673999999999999</v>
      </c>
      <c r="N83" s="138">
        <f>'rig piano tipo'!G2+'rig piano tipo'!K2</f>
        <v>38.351681126841932</v>
      </c>
      <c r="O83" s="138">
        <f>[10]Rig!$K$41</f>
        <v>36.231999999999999</v>
      </c>
      <c r="P83" s="138">
        <f t="shared" si="18"/>
        <v>38.351681126841932</v>
      </c>
      <c r="Q83" s="138">
        <f>[10]Rig!$K$47</f>
        <v>36.683999999999997</v>
      </c>
    </row>
    <row r="84" spans="1:17" x14ac:dyDescent="0.25">
      <c r="A84" s="294">
        <v>2</v>
      </c>
      <c r="B84" s="297">
        <f>B83</f>
        <v>41.936890310889176</v>
      </c>
      <c r="C84" s="138">
        <f>[10]Rig!$K$6</f>
        <v>44.23</v>
      </c>
      <c r="D84" s="138">
        <f>D83</f>
        <v>102.6001215413375</v>
      </c>
      <c r="E84" s="138">
        <f>[10]Rig!$K$12</f>
        <v>102.991</v>
      </c>
      <c r="F84" s="138">
        <f>F83</f>
        <v>7.5628736988824219</v>
      </c>
      <c r="G84" s="138">
        <f>[10]Rig!$K$18</f>
        <v>8.8789999999999996</v>
      </c>
      <c r="H84" s="138">
        <f>H83</f>
        <v>35.050720351999338</v>
      </c>
      <c r="I84" s="138">
        <f>[10]Rig!$K$24</f>
        <v>33.26</v>
      </c>
      <c r="J84" s="138">
        <f>J83</f>
        <v>29.760927319739142</v>
      </c>
      <c r="K84" s="138">
        <f>[10]Rig!$K$30</f>
        <v>29.292000000000002</v>
      </c>
      <c r="L84" s="138">
        <f>L83</f>
        <v>38.351681126841932</v>
      </c>
      <c r="M84" s="333">
        <f>[10]Rig!$K$36</f>
        <v>40.206000000000003</v>
      </c>
      <c r="N84" s="138">
        <f>N83</f>
        <v>38.351681126841932</v>
      </c>
      <c r="O84" s="138">
        <f>[10]Rig!$K$42</f>
        <v>39.466000000000001</v>
      </c>
      <c r="P84" s="138">
        <f t="shared" si="18"/>
        <v>38.351681126841932</v>
      </c>
      <c r="Q84" s="138">
        <f>[10]Rig!$K$48</f>
        <v>40.335000000000001</v>
      </c>
    </row>
    <row r="85" spans="1:17" x14ac:dyDescent="0.25">
      <c r="A85" s="294">
        <v>1</v>
      </c>
      <c r="B85" s="297">
        <f>'rig piano terra'!AA21</f>
        <v>65.819785975004166</v>
      </c>
      <c r="C85" s="138">
        <f>[10]Rig!$K$7</f>
        <v>62.42</v>
      </c>
      <c r="D85" s="138">
        <f>'rig piano terra'!AA26</f>
        <v>135.89540814582699</v>
      </c>
      <c r="E85" s="138">
        <f>[10]Rig!$K$13</f>
        <v>124.18600000000001</v>
      </c>
      <c r="F85" s="138">
        <f>'rig piano terra'!AA14</f>
        <v>14.548298705689344</v>
      </c>
      <c r="G85" s="138">
        <f>[10]Rig!$K$19</f>
        <v>14.283000000000001</v>
      </c>
      <c r="H85" s="138">
        <f>'rig piano terra'!AA17</f>
        <v>49.242372236465116</v>
      </c>
      <c r="I85" s="138">
        <f>[10]Rig!$K$25</f>
        <v>44.363</v>
      </c>
      <c r="J85" s="138">
        <f>'rig piano terra'!AA9</f>
        <v>33.750963250301218</v>
      </c>
      <c r="K85" s="138">
        <f>[10]Rig!$K$31</f>
        <v>30.767999999999997</v>
      </c>
      <c r="L85" s="138">
        <f>'rig piano terra'!AA7</f>
        <v>60.246349904857603</v>
      </c>
      <c r="M85" s="333">
        <f>[10]Rig!$K$37</f>
        <v>56.847999999999999</v>
      </c>
      <c r="N85" s="138">
        <f>'rig piano terra'!G2+'rig piano terra'!K2</f>
        <v>60.246349904857603</v>
      </c>
      <c r="O85" s="138">
        <f>[10]Rig!$K$43</f>
        <v>57.129999999999995</v>
      </c>
      <c r="P85" s="138">
        <f>N85</f>
        <v>60.246349904857603</v>
      </c>
      <c r="Q85" s="138">
        <f>[10]Rig!$K$49</f>
        <v>57.674999999999997</v>
      </c>
    </row>
    <row r="86" spans="1:17" x14ac:dyDescent="0.25">
      <c r="B86" s="310" t="s">
        <v>374</v>
      </c>
      <c r="D86" s="313" t="s">
        <v>375</v>
      </c>
      <c r="F86" s="305" t="s">
        <v>376</v>
      </c>
      <c r="H86" s="311" t="s">
        <v>377</v>
      </c>
      <c r="J86" s="314" t="s">
        <v>378</v>
      </c>
      <c r="L86" s="315" t="s">
        <v>379</v>
      </c>
      <c r="N86" s="304" t="s">
        <v>380</v>
      </c>
    </row>
    <row r="87" spans="1:17" x14ac:dyDescent="0.25">
      <c r="A87" s="294" t="s">
        <v>176</v>
      </c>
      <c r="B87" s="316" t="s">
        <v>373</v>
      </c>
      <c r="C87" s="317" t="s">
        <v>318</v>
      </c>
      <c r="D87" s="316" t="s">
        <v>373</v>
      </c>
      <c r="E87" s="317" t="s">
        <v>318</v>
      </c>
      <c r="F87" s="316" t="s">
        <v>373</v>
      </c>
      <c r="G87" s="317" t="s">
        <v>318</v>
      </c>
      <c r="H87" s="316" t="s">
        <v>373</v>
      </c>
      <c r="I87" s="317" t="s">
        <v>318</v>
      </c>
      <c r="J87" s="316" t="s">
        <v>373</v>
      </c>
      <c r="K87" s="317" t="s">
        <v>318</v>
      </c>
      <c r="L87" s="316" t="s">
        <v>373</v>
      </c>
      <c r="M87" s="317" t="s">
        <v>318</v>
      </c>
      <c r="N87" s="316" t="s">
        <v>373</v>
      </c>
      <c r="O87" s="317" t="s">
        <v>318</v>
      </c>
    </row>
    <row r="88" spans="1:17" x14ac:dyDescent="0.25">
      <c r="A88" s="294">
        <v>6</v>
      </c>
      <c r="B88" s="138">
        <f>'rig terrazza'!D56</f>
        <v>35.669517996966754</v>
      </c>
      <c r="C88" s="138">
        <f>[10]Rig!$K$50</f>
        <v>29.404</v>
      </c>
      <c r="D88" s="138">
        <f>'rig terrazza'!G56</f>
        <v>38.476413810784805</v>
      </c>
      <c r="E88" s="138">
        <f>[10]Rig!$K$56</f>
        <v>35.085000000000001</v>
      </c>
      <c r="F88" s="138">
        <f>'rig terrazza'!K56</f>
        <v>60.10458640370674</v>
      </c>
      <c r="G88" s="138">
        <f>[10]Rig!$K$62</f>
        <v>55.264000000000003</v>
      </c>
      <c r="H88" s="138">
        <f>'rig terrazza'!N56</f>
        <v>29.706490766490138</v>
      </c>
      <c r="I88" s="138">
        <f>[10]Rig!$K$68</f>
        <v>29.08</v>
      </c>
      <c r="J88" s="138">
        <f>'rig terrazza'!Q56</f>
        <v>39.56456992581461</v>
      </c>
      <c r="K88" s="138">
        <f>[10]Rig!$K$74</f>
        <v>36.707000000000001</v>
      </c>
      <c r="L88" s="138">
        <f>'rig terrazza'!T56</f>
        <v>56.209534474858884</v>
      </c>
      <c r="M88" s="138">
        <f>[10]Rig!$K$80</f>
        <v>49.882999999999996</v>
      </c>
      <c r="N88" s="138">
        <f>'rig terrazza'!W56</f>
        <v>56.209534474858884</v>
      </c>
      <c r="O88" s="138">
        <f>[10]Rig!$K$86</f>
        <v>50.628</v>
      </c>
    </row>
    <row r="89" spans="1:17" x14ac:dyDescent="0.25">
      <c r="A89" s="294">
        <v>5</v>
      </c>
      <c r="B89" s="138">
        <f>'rig p.5'!D56</f>
        <v>42.759677185925582</v>
      </c>
      <c r="C89" s="138">
        <f>[10]Rig!$K$51</f>
        <v>38.576000000000001</v>
      </c>
      <c r="D89" s="138">
        <f>'rig p.5'!G56</f>
        <v>50.233162932898438</v>
      </c>
      <c r="E89" s="138">
        <f>[10]Rig!$K$57</f>
        <v>43.788000000000004</v>
      </c>
      <c r="F89" s="138">
        <f>'rig p.5'!K56</f>
        <v>74.061655131425809</v>
      </c>
      <c r="G89" s="138">
        <f>[10]Rig!$K$63</f>
        <v>76.698000000000008</v>
      </c>
      <c r="H89" s="138">
        <f>'rig p.5'!N56</f>
        <v>35.137813523534646</v>
      </c>
      <c r="I89" s="138">
        <f>[10]Rig!$K$69</f>
        <v>35.635000000000005</v>
      </c>
      <c r="J89" s="138">
        <f>'rig p.5'!Q56</f>
        <v>48.727906431672608</v>
      </c>
      <c r="K89" s="138">
        <f>[10]Rig!$K$75</f>
        <v>48.567999999999998</v>
      </c>
      <c r="L89" s="138">
        <f>'rig p.5'!T56</f>
        <v>68.093425885678784</v>
      </c>
      <c r="M89" s="138">
        <f>[10]Rig!$K$81</f>
        <v>64.641000000000005</v>
      </c>
      <c r="N89" s="138">
        <f>'rig p.5'!W56</f>
        <v>68.093425885678784</v>
      </c>
      <c r="O89" s="138">
        <f>[10]Rig!$K$87</f>
        <v>65.256999999999991</v>
      </c>
    </row>
    <row r="90" spans="1:17" x14ac:dyDescent="0.25">
      <c r="A90" s="294">
        <v>4</v>
      </c>
      <c r="B90" s="138">
        <f>B91</f>
        <v>50.894894318031007</v>
      </c>
      <c r="C90" s="138">
        <f>[10]Rig!$K$52</f>
        <v>45.087999999999994</v>
      </c>
      <c r="D90" s="138">
        <f>D91</f>
        <v>53.701790131849052</v>
      </c>
      <c r="E90" s="138">
        <f>[10]Rig!$K$58</f>
        <v>49.637</v>
      </c>
      <c r="F90" s="138">
        <f>F91</f>
        <v>89.958237965087022</v>
      </c>
      <c r="G90" s="138">
        <f>[10]Rig!$K$64</f>
        <v>90.075999999999993</v>
      </c>
      <c r="H90" s="138">
        <f>H91</f>
        <v>41.219490214919205</v>
      </c>
      <c r="I90" s="138">
        <f>[10]Rig!$K$70</f>
        <v>38.448999999999998</v>
      </c>
      <c r="J90" s="138">
        <f>J91</f>
        <v>59.125911044611733</v>
      </c>
      <c r="K90" s="138">
        <f>[10]Rig!$K$76</f>
        <v>55.055999999999997</v>
      </c>
      <c r="L90" s="138">
        <f>L91</f>
        <v>81.727221238506303</v>
      </c>
      <c r="M90" s="138">
        <f>[10]Rig!$K$82</f>
        <v>75.203000000000003</v>
      </c>
      <c r="N90" s="138">
        <f>N91</f>
        <v>81.727221238506303</v>
      </c>
      <c r="O90" s="138">
        <f>[10]Rig!$K$88</f>
        <v>75.736999999999995</v>
      </c>
    </row>
    <row r="91" spans="1:17" x14ac:dyDescent="0.25">
      <c r="A91" s="294">
        <v>3</v>
      </c>
      <c r="B91" s="138">
        <f>'rig piano tipo'!D56</f>
        <v>50.894894318031007</v>
      </c>
      <c r="C91" s="138">
        <f>[10]Rig!$K$53</f>
        <v>46.797999999999995</v>
      </c>
      <c r="D91" s="138">
        <f>'rig piano tipo'!G56</f>
        <v>53.701790131849052</v>
      </c>
      <c r="E91" s="138">
        <f>[10]Rig!$K$59</f>
        <v>51.546999999999997</v>
      </c>
      <c r="F91" s="138">
        <f>'rig piano tipo'!K56</f>
        <v>89.958237965087022</v>
      </c>
      <c r="G91" s="138">
        <f>[10]Rig!$K$65</f>
        <v>93.825999999999993</v>
      </c>
      <c r="H91" s="138">
        <f>'rig piano tipo'!N56</f>
        <v>41.219490214919205</v>
      </c>
      <c r="I91" s="138">
        <v>40.044699999999999</v>
      </c>
      <c r="J91" s="138">
        <f>'rig piano tipo'!Q56</f>
        <v>59.125911044611733</v>
      </c>
      <c r="K91" s="138">
        <f>[10]Rig!$K$77</f>
        <v>57.125</v>
      </c>
      <c r="L91" s="138">
        <f>'rig piano tipo'!T56</f>
        <v>81.727221238506303</v>
      </c>
      <c r="M91" s="138">
        <f>[10]Rig!$K$83</f>
        <v>77.37</v>
      </c>
      <c r="N91" s="138">
        <f>'rig piano tipo'!W56</f>
        <v>81.727221238506303</v>
      </c>
      <c r="O91" s="138">
        <f>[10]Rig!$K$89</f>
        <v>77.797000000000011</v>
      </c>
    </row>
    <row r="92" spans="1:17" x14ac:dyDescent="0.25">
      <c r="A92" s="294">
        <v>2</v>
      </c>
      <c r="B92" s="138">
        <f>B91</f>
        <v>50.894894318031007</v>
      </c>
      <c r="C92" s="138">
        <f>[10]Rig!$K$54</f>
        <v>49.008000000000003</v>
      </c>
      <c r="D92" s="138">
        <f>D91</f>
        <v>53.701790131849052</v>
      </c>
      <c r="E92" s="138">
        <f>[10]Rig!$K$60</f>
        <v>53.425999999999995</v>
      </c>
      <c r="F92" s="138">
        <f>F91</f>
        <v>89.958237965087022</v>
      </c>
      <c r="G92" s="138">
        <f>[10]Rig!$K$66</f>
        <v>98.024000000000001</v>
      </c>
      <c r="H92" s="138">
        <f>H91</f>
        <v>41.219490214919205</v>
      </c>
      <c r="I92" s="138">
        <f>[10]Rig!$K$71</f>
        <v>40.054000000000002</v>
      </c>
      <c r="J92" s="138">
        <f>J91</f>
        <v>59.125911044611733</v>
      </c>
      <c r="K92" s="138">
        <f>[10]Rig!$K$78</f>
        <v>57.906999999999996</v>
      </c>
      <c r="L92" s="138">
        <f>L91</f>
        <v>81.727221238506303</v>
      </c>
      <c r="M92" s="138">
        <f>[10]Rig!$K$84</f>
        <v>80.435000000000002</v>
      </c>
      <c r="N92" s="138">
        <f>N91</f>
        <v>81.727221238506303</v>
      </c>
      <c r="O92" s="138">
        <f>[10]Rig!$K$90</f>
        <v>80.804000000000002</v>
      </c>
    </row>
    <row r="93" spans="1:17" x14ac:dyDescent="0.25">
      <c r="A93" s="294">
        <v>1</v>
      </c>
      <c r="B93" s="138">
        <f>'rig piano terra'!D56</f>
        <v>54.999020103225369</v>
      </c>
      <c r="C93" s="138">
        <f>[10]Rig!$K$55</f>
        <v>52.420999999999992</v>
      </c>
      <c r="D93" s="138">
        <f>'rig piano terra'!G56</f>
        <v>60.058698611864571</v>
      </c>
      <c r="E93" s="138">
        <f>[10]Rig!$K$61</f>
        <v>58.315000000000005</v>
      </c>
      <c r="F93" s="138">
        <f>'rig piano terra'!K56</f>
        <v>112.69547592326799</v>
      </c>
      <c r="G93" s="138">
        <f>[10]Rig!$K$67</f>
        <v>114.931</v>
      </c>
      <c r="H93" s="138">
        <f>'rig piano terra'!N56</f>
        <v>48.557696168344968</v>
      </c>
      <c r="I93" s="138">
        <f>[10]Rig!$K$73</f>
        <v>49.222999999999999</v>
      </c>
      <c r="J93" s="138">
        <f>'rig piano terra'!Q56</f>
        <v>75.585221633152557</v>
      </c>
      <c r="K93" s="138">
        <f>[10]Rig!$K$79</f>
        <v>75.915999999999997</v>
      </c>
      <c r="L93" s="138">
        <f>'rig piano terra'!T56</f>
        <v>92.109274393340783</v>
      </c>
      <c r="M93" s="138">
        <f>[10]Rig!$K$85</f>
        <v>88.488</v>
      </c>
      <c r="N93" s="138">
        <f>'rig piano terra'!W56</f>
        <v>92.109274393340783</v>
      </c>
      <c r="O93" s="138">
        <f>[10]Rig!$K$91</f>
        <v>88.581999999999994</v>
      </c>
    </row>
  </sheetData>
  <mergeCells count="2">
    <mergeCell ref="G32:H32"/>
    <mergeCell ref="I32:J32"/>
  </mergeCells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opLeftCell="A19" workbookViewId="0">
      <selection activeCell="D27" sqref="D27"/>
    </sheetView>
  </sheetViews>
  <sheetFormatPr defaultRowHeight="15" x14ac:dyDescent="0.25"/>
  <cols>
    <col min="2" max="2" width="9.28515625" bestFit="1" customWidth="1"/>
    <col min="3" max="3" width="9.28515625" customWidth="1"/>
    <col min="4" max="4" width="9.5703125" bestFit="1" customWidth="1"/>
    <col min="5" max="5" width="12.28515625" customWidth="1"/>
    <col min="6" max="6" width="13.5703125" customWidth="1"/>
  </cols>
  <sheetData>
    <row r="1" spans="1:18" x14ac:dyDescent="0.25">
      <c r="A1" t="s">
        <v>265</v>
      </c>
      <c r="D1" t="s">
        <v>211</v>
      </c>
      <c r="I1" t="s">
        <v>213</v>
      </c>
      <c r="O1" t="s">
        <v>240</v>
      </c>
    </row>
    <row r="2" spans="1:18" x14ac:dyDescent="0.25">
      <c r="A2" t="s">
        <v>266</v>
      </c>
      <c r="D2" t="s">
        <v>207</v>
      </c>
      <c r="E2" t="s">
        <v>208</v>
      </c>
      <c r="F2" t="s">
        <v>209</v>
      </c>
      <c r="G2" t="s">
        <v>210</v>
      </c>
      <c r="I2" t="s">
        <v>207</v>
      </c>
      <c r="J2" t="s">
        <v>208</v>
      </c>
      <c r="K2" t="s">
        <v>209</v>
      </c>
      <c r="L2" t="s">
        <v>210</v>
      </c>
      <c r="O2" t="s">
        <v>207</v>
      </c>
      <c r="P2" t="s">
        <v>208</v>
      </c>
      <c r="Q2" t="s">
        <v>209</v>
      </c>
      <c r="R2" t="s">
        <v>210</v>
      </c>
    </row>
    <row r="3" spans="1:18" x14ac:dyDescent="0.25">
      <c r="A3" t="s">
        <v>267</v>
      </c>
      <c r="D3" t="s">
        <v>278</v>
      </c>
      <c r="E3">
        <v>2</v>
      </c>
      <c r="F3">
        <v>11</v>
      </c>
      <c r="G3" t="s">
        <v>55</v>
      </c>
      <c r="I3" t="s">
        <v>278</v>
      </c>
      <c r="J3">
        <v>2</v>
      </c>
      <c r="K3">
        <v>11</v>
      </c>
      <c r="L3" t="s">
        <v>55</v>
      </c>
      <c r="O3" t="s">
        <v>275</v>
      </c>
      <c r="P3">
        <v>2</v>
      </c>
      <c r="Q3">
        <v>11</v>
      </c>
      <c r="R3" t="s">
        <v>55</v>
      </c>
    </row>
    <row r="4" spans="1:18" x14ac:dyDescent="0.25">
      <c r="A4" t="s">
        <v>268</v>
      </c>
      <c r="D4" t="s">
        <v>279</v>
      </c>
      <c r="E4" t="s">
        <v>55</v>
      </c>
      <c r="F4">
        <v>3</v>
      </c>
      <c r="G4">
        <v>9</v>
      </c>
      <c r="I4" t="s">
        <v>279</v>
      </c>
      <c r="J4" t="s">
        <v>55</v>
      </c>
      <c r="K4">
        <v>3</v>
      </c>
      <c r="L4">
        <v>9</v>
      </c>
      <c r="O4" t="s">
        <v>276</v>
      </c>
      <c r="P4" t="s">
        <v>55</v>
      </c>
      <c r="Q4">
        <v>3</v>
      </c>
      <c r="R4">
        <v>9</v>
      </c>
    </row>
    <row r="5" spans="1:18" x14ac:dyDescent="0.25">
      <c r="A5" t="s">
        <v>269</v>
      </c>
      <c r="D5" t="s">
        <v>280</v>
      </c>
      <c r="E5">
        <f>'[2]x p.tipo30x70 2 tr emerg'!$L$5</f>
        <v>32.124220207247788</v>
      </c>
      <c r="F5">
        <f>'[2]x p.tipo30x70 1 tr emer'!$L$5</f>
        <v>19.175840563420966</v>
      </c>
      <c r="G5" t="s">
        <v>55</v>
      </c>
      <c r="I5" t="s">
        <v>280</v>
      </c>
      <c r="J5">
        <f>'[3]x p.terra30x70 2 tr emerg'!$L$5</f>
        <v>37.824529120484691</v>
      </c>
      <c r="K5">
        <f>'[3]x p.terra30x70 1 tr emer'!$L$5</f>
        <v>30.123174952428801</v>
      </c>
      <c r="L5" t="s">
        <v>55</v>
      </c>
      <c r="O5" t="s">
        <v>239</v>
      </c>
    </row>
    <row r="6" spans="1:18" x14ac:dyDescent="0.25">
      <c r="A6" t="s">
        <v>270</v>
      </c>
      <c r="D6" t="s">
        <v>281</v>
      </c>
      <c r="E6" t="s">
        <v>55</v>
      </c>
      <c r="F6">
        <f>'[2]x p.tipo 70x30 1 tr emerg'!$L$5</f>
        <v>10.300838347113535</v>
      </c>
      <c r="G6">
        <f>'[2] x p.tipo 70x30 2 spess'!$L$5</f>
        <v>3.5852091840472422</v>
      </c>
      <c r="H6" t="s">
        <v>228</v>
      </c>
      <c r="I6" t="s">
        <v>281</v>
      </c>
      <c r="J6" t="s">
        <v>55</v>
      </c>
      <c r="K6">
        <f>'[3]x p.tipo 70x30 1 tr emerg'!$L$5</f>
        <v>9.0583298961183534</v>
      </c>
      <c r="L6">
        <f>'[3] x p.tipo 70x30 2 spess'!$L$5</f>
        <v>5.5734360701465597</v>
      </c>
      <c r="M6" t="s">
        <v>228</v>
      </c>
      <c r="O6" t="s">
        <v>241</v>
      </c>
    </row>
    <row r="7" spans="1:18" x14ac:dyDescent="0.25">
      <c r="A7" t="s">
        <v>271</v>
      </c>
      <c r="G7">
        <f>'[2]x p.tipo 70x30 1 spess'!$L$5</f>
        <v>1.9888322574175896</v>
      </c>
      <c r="H7" t="s">
        <v>229</v>
      </c>
      <c r="L7">
        <f>'[3]x p.tipo 70x30 1 spess'!$L$5</f>
        <v>4.4874313177713931</v>
      </c>
      <c r="M7" t="s">
        <v>229</v>
      </c>
      <c r="O7" t="s">
        <v>207</v>
      </c>
      <c r="P7" t="s">
        <v>208</v>
      </c>
      <c r="Q7" t="s">
        <v>209</v>
      </c>
      <c r="R7" t="s">
        <v>210</v>
      </c>
    </row>
    <row r="8" spans="1:18" x14ac:dyDescent="0.25">
      <c r="A8" t="s">
        <v>272</v>
      </c>
      <c r="D8" t="s">
        <v>212</v>
      </c>
      <c r="I8" t="s">
        <v>214</v>
      </c>
      <c r="O8" t="s">
        <v>275</v>
      </c>
      <c r="P8">
        <v>9</v>
      </c>
      <c r="Q8">
        <v>3</v>
      </c>
      <c r="R8" t="s">
        <v>55</v>
      </c>
    </row>
    <row r="9" spans="1:18" x14ac:dyDescent="0.25">
      <c r="A9" t="s">
        <v>273</v>
      </c>
      <c r="D9" t="s">
        <v>207</v>
      </c>
      <c r="E9" t="s">
        <v>208</v>
      </c>
      <c r="F9" t="s">
        <v>209</v>
      </c>
      <c r="G9" t="s">
        <v>210</v>
      </c>
      <c r="I9" t="s">
        <v>207</v>
      </c>
      <c r="J9" t="s">
        <v>208</v>
      </c>
      <c r="K9" t="s">
        <v>209</v>
      </c>
      <c r="L9" t="s">
        <v>210</v>
      </c>
      <c r="O9" t="s">
        <v>276</v>
      </c>
      <c r="P9">
        <v>1</v>
      </c>
      <c r="Q9">
        <v>11</v>
      </c>
      <c r="R9">
        <v>1</v>
      </c>
    </row>
    <row r="10" spans="1:18" x14ac:dyDescent="0.25">
      <c r="A10" t="s">
        <v>274</v>
      </c>
      <c r="D10" t="s">
        <v>278</v>
      </c>
      <c r="E10">
        <v>9</v>
      </c>
      <c r="F10">
        <v>3</v>
      </c>
      <c r="G10" t="s">
        <v>55</v>
      </c>
      <c r="I10" t="s">
        <v>278</v>
      </c>
      <c r="J10">
        <v>9</v>
      </c>
      <c r="K10">
        <v>3</v>
      </c>
      <c r="L10" t="s">
        <v>55</v>
      </c>
    </row>
    <row r="11" spans="1:18" x14ac:dyDescent="0.25">
      <c r="D11" t="s">
        <v>279</v>
      </c>
      <c r="E11">
        <v>1</v>
      </c>
      <c r="F11">
        <v>11</v>
      </c>
      <c r="G11">
        <v>1</v>
      </c>
      <c r="I11" t="s">
        <v>279</v>
      </c>
      <c r="J11">
        <v>1</v>
      </c>
      <c r="K11">
        <v>11</v>
      </c>
      <c r="L11">
        <v>1</v>
      </c>
    </row>
    <row r="12" spans="1:18" x14ac:dyDescent="0.25">
      <c r="D12" t="s">
        <v>280</v>
      </c>
      <c r="E12">
        <f>'[4]y 30x80 2 tr emerg'!$L$5</f>
        <v>30.832326920475296</v>
      </c>
      <c r="F12">
        <f>'[4]y 30x80 1 tr emerg'!$L$5</f>
        <v>18.262300425358582</v>
      </c>
      <c r="G12" t="s">
        <v>55</v>
      </c>
      <c r="I12" t="s">
        <v>280</v>
      </c>
      <c r="J12">
        <f>'[3]y 30x70 2 tr emerg'!$L$5</f>
        <v>37.110254290115428</v>
      </c>
      <c r="K12">
        <f>'[3]y 30x70 1 tr emerg'!$L$5</f>
        <v>29.530584436482165</v>
      </c>
      <c r="L12" t="s">
        <v>55</v>
      </c>
    </row>
    <row r="13" spans="1:18" x14ac:dyDescent="0.25">
      <c r="D13" t="s">
        <v>281</v>
      </c>
      <c r="E13">
        <f>'[4]y 80x30 2 tr emerg'!$L$5</f>
        <v>12.925906090782766</v>
      </c>
      <c r="F13">
        <f>'[4]y 80x30 1 tr emerg'!$L$5</f>
        <v>10.031283698777857</v>
      </c>
      <c r="G13">
        <f>'[4]y 80x30 1 tr spess'!$L$5</f>
        <v>2.8068958138180466</v>
      </c>
      <c r="I13" t="s">
        <v>281</v>
      </c>
      <c r="J13">
        <f>'[3]y 70x30 2 tr emerg'!$L$5</f>
        <v>10.08272882530783</v>
      </c>
      <c r="K13">
        <f>'[3]y 70x30 1 tr emerg'!$L$5</f>
        <v>8.9443829065549689</v>
      </c>
      <c r="L13">
        <f>'[3]y 70x30 1 tr spess'!$L$5</f>
        <v>5.0596785086392035</v>
      </c>
    </row>
    <row r="14" spans="1:18" x14ac:dyDescent="0.25">
      <c r="A14" t="s">
        <v>238</v>
      </c>
    </row>
    <row r="15" spans="1:18" x14ac:dyDescent="0.25">
      <c r="A15" t="s">
        <v>220</v>
      </c>
      <c r="B15">
        <v>5</v>
      </c>
      <c r="I15" t="s">
        <v>215</v>
      </c>
      <c r="O15" t="s">
        <v>282</v>
      </c>
    </row>
    <row r="16" spans="1:18" x14ac:dyDescent="0.25">
      <c r="A16" t="s">
        <v>221</v>
      </c>
      <c r="B16">
        <v>4</v>
      </c>
      <c r="I16" t="s">
        <v>207</v>
      </c>
      <c r="J16" t="s">
        <v>208</v>
      </c>
      <c r="K16" t="s">
        <v>209</v>
      </c>
      <c r="L16" t="s">
        <v>210</v>
      </c>
      <c r="O16" t="s">
        <v>207</v>
      </c>
      <c r="P16" t="s">
        <v>208</v>
      </c>
      <c r="Q16" t="s">
        <v>209</v>
      </c>
      <c r="R16" t="s">
        <v>210</v>
      </c>
    </row>
    <row r="17" spans="1:19" x14ac:dyDescent="0.25">
      <c r="D17" s="241" t="s">
        <v>217</v>
      </c>
      <c r="E17" s="241" t="s">
        <v>218</v>
      </c>
      <c r="F17" s="241" t="s">
        <v>219</v>
      </c>
      <c r="G17" s="241"/>
      <c r="I17" t="s">
        <v>278</v>
      </c>
      <c r="J17">
        <v>2</v>
      </c>
      <c r="K17">
        <v>11</v>
      </c>
      <c r="L17" t="s">
        <v>55</v>
      </c>
      <c r="O17" t="s">
        <v>278</v>
      </c>
      <c r="P17">
        <v>2</v>
      </c>
      <c r="Q17">
        <v>11</v>
      </c>
      <c r="R17" t="s">
        <v>55</v>
      </c>
    </row>
    <row r="18" spans="1:19" x14ac:dyDescent="0.25">
      <c r="A18" t="s">
        <v>205</v>
      </c>
      <c r="B18">
        <v>19</v>
      </c>
      <c r="D18" s="241">
        <v>6</v>
      </c>
      <c r="E18" s="138">
        <f>(J17*J19)+(K17*K19)+(K18*K20)+(B15*L20)+(B16*L21)</f>
        <v>299.00907024531182</v>
      </c>
      <c r="F18" s="138">
        <f>(J24*J26)+(K24*K26)+(J25*J27)+(K25*K27)+(L25*L27)</f>
        <v>401.85389437845646</v>
      </c>
      <c r="G18" s="241"/>
      <c r="I18" t="s">
        <v>279</v>
      </c>
      <c r="J18" t="s">
        <v>55</v>
      </c>
      <c r="K18">
        <v>3</v>
      </c>
      <c r="L18">
        <v>9</v>
      </c>
      <c r="O18" t="s">
        <v>279</v>
      </c>
      <c r="P18" t="s">
        <v>55</v>
      </c>
      <c r="Q18">
        <v>3</v>
      </c>
      <c r="R18">
        <v>9</v>
      </c>
    </row>
    <row r="19" spans="1:19" x14ac:dyDescent="0.25">
      <c r="A19" t="s">
        <v>206</v>
      </c>
      <c r="B19">
        <v>20</v>
      </c>
      <c r="D19" s="241">
        <v>5</v>
      </c>
      <c r="E19" s="138">
        <f>($E$3*$P$19)+($F$3*$Q$19)+($F$4*$Q$20)+($B$15*$G$6)+($B$16*$G$7)</f>
        <v>275.55959059488424</v>
      </c>
      <c r="F19" s="138">
        <f>($E$10*$P$26)+($F$10*$Q$26)+($E$11*$P$27)+($F$11*$Q$27)+($G$11*$R$27)</f>
        <v>387.10706697681468</v>
      </c>
      <c r="G19" s="241"/>
      <c r="I19" t="s">
        <v>280</v>
      </c>
      <c r="J19">
        <f>'[13]x terr 30x70 2 tr emerg'!$L$5</f>
        <v>27.840626350609174</v>
      </c>
      <c r="K19">
        <f>'[13]x terr 30x70 1 tr emer'!$L$5</f>
        <v>16.473449534700904</v>
      </c>
      <c r="L19" t="s">
        <v>55</v>
      </c>
      <c r="O19" t="s">
        <v>280</v>
      </c>
      <c r="P19">
        <f>'[6]x p.4 30x80 2 tr emerg'!$L$5</f>
        <v>26.46333620453073</v>
      </c>
      <c r="Q19">
        <f>'[7]x p.4 30x70 1 tr emer'!$L$5</f>
        <v>15.436768653433358</v>
      </c>
      <c r="R19" t="s">
        <v>55</v>
      </c>
    </row>
    <row r="20" spans="1:19" x14ac:dyDescent="0.25">
      <c r="A20" t="str">
        <f>'masse e forze'!A25</f>
        <v>N pilastri =</v>
      </c>
      <c r="B20">
        <f>'masse e forze'!B25</f>
        <v>27</v>
      </c>
      <c r="D20" s="241">
        <v>4</v>
      </c>
      <c r="E20" s="138">
        <f>($E$3*$P$19)+($F$3*$Q$19)+($F$4*$Q$20)+($B$15*$G$6)+($B$16*$G$7)</f>
        <v>275.55959059488424</v>
      </c>
      <c r="F20" s="138">
        <f>($E$10*$P$26)+($F$10*$Q$26)+($E$11*$P$27)+($F$11*$Q$27)+($G$11*$R$27)</f>
        <v>387.10706697681468</v>
      </c>
      <c r="G20" s="241"/>
      <c r="I20" t="s">
        <v>281</v>
      </c>
      <c r="J20" t="s">
        <v>55</v>
      </c>
      <c r="K20">
        <f>'[13]x terr 70x30 1 tr emerg'!$L$5</f>
        <v>9.2574354999936475</v>
      </c>
      <c r="L20">
        <f>'[13] x terr 70x30 2 spess'!$L$5</f>
        <v>4.6828306317133421</v>
      </c>
      <c r="M20" t="s">
        <v>228</v>
      </c>
      <c r="O20" t="s">
        <v>281</v>
      </c>
      <c r="P20" t="s">
        <v>55</v>
      </c>
      <c r="Q20">
        <f>'[6]x p.4 80x30 1 tr emerg'!$L$5</f>
        <v>8.982362682716424</v>
      </c>
      <c r="R20">
        <f>'[6] x p.4 80x30 2 spess'!$L$5</f>
        <v>3.5852091840472422</v>
      </c>
      <c r="S20" t="s">
        <v>228</v>
      </c>
    </row>
    <row r="21" spans="1:19" x14ac:dyDescent="0.25">
      <c r="A21" t="str">
        <f>'masse e forze'!A26</f>
        <v>direzione x=</v>
      </c>
      <c r="B21">
        <f>'masse e forze'!B26</f>
        <v>13</v>
      </c>
      <c r="D21" s="241">
        <v>3</v>
      </c>
      <c r="E21" s="138">
        <f>($E$3*$E$5)+($F$3*$F$5)+($F$4*$F$6)+($B$15*$G$6)+($B$16*$G$7)</f>
        <v>331.96657660337337</v>
      </c>
      <c r="F21" s="138">
        <f t="shared" ref="F21:F22" si="0">($E$10*$E$12)+($F$10*$F$12)+($E$11*$E$13)+($F$11*$F$13)+($G$11*$G$13)</f>
        <v>458.35476615151066</v>
      </c>
      <c r="G21" s="241"/>
      <c r="L21">
        <f>'[13]x terr 80x30 1 spess'!$L$5</f>
        <v>2.733353250958968</v>
      </c>
      <c r="M21" t="s">
        <v>229</v>
      </c>
      <c r="R21">
        <f>'[6]x p.4 80x30 1 spess'!$L$5</f>
        <v>1.9888322574175896</v>
      </c>
      <c r="S21" t="s">
        <v>229</v>
      </c>
    </row>
    <row r="22" spans="1:19" x14ac:dyDescent="0.25">
      <c r="A22" t="str">
        <f>'masse e forze'!A27</f>
        <v>direzione y=</v>
      </c>
      <c r="B22">
        <f>'masse e forze'!B27</f>
        <v>12</v>
      </c>
      <c r="D22" s="241">
        <v>2</v>
      </c>
      <c r="E22" s="138">
        <f>($E$3*$E$5)+($F$3*$F$5)+($F$4*$F$6)+($B$15*$G$6)+($B$16*$G$7)</f>
        <v>331.96657660337337</v>
      </c>
      <c r="F22" s="138">
        <f t="shared" si="0"/>
        <v>458.35476615151066</v>
      </c>
      <c r="G22" s="241"/>
      <c r="I22" t="s">
        <v>216</v>
      </c>
      <c r="O22" t="s">
        <v>283</v>
      </c>
    </row>
    <row r="23" spans="1:19" x14ac:dyDescent="0.25">
      <c r="D23" s="241">
        <v>1</v>
      </c>
      <c r="E23" s="138">
        <f>(J3*J5)+(K3*K5)+(K4*K6)+(L6*B15)+(L7*B16)</f>
        <v>479.99587802785965</v>
      </c>
      <c r="F23" s="138">
        <f>(J10*J12)+(K10*K12)+(J11*J13)+(K11*K13)+(L11*L13)</f>
        <v>536.11466122653701</v>
      </c>
      <c r="G23" s="241"/>
      <c r="I23" t="s">
        <v>207</v>
      </c>
      <c r="J23" t="s">
        <v>208</v>
      </c>
      <c r="K23" t="s">
        <v>209</v>
      </c>
      <c r="L23" t="s">
        <v>210</v>
      </c>
      <c r="O23" t="s">
        <v>207</v>
      </c>
      <c r="P23" t="s">
        <v>208</v>
      </c>
      <c r="Q23" t="s">
        <v>209</v>
      </c>
      <c r="R23" t="s">
        <v>210</v>
      </c>
    </row>
    <row r="24" spans="1:19" x14ac:dyDescent="0.25">
      <c r="I24" t="s">
        <v>278</v>
      </c>
      <c r="J24">
        <v>9</v>
      </c>
      <c r="K24">
        <v>3</v>
      </c>
      <c r="L24" t="s">
        <v>55</v>
      </c>
      <c r="O24" t="s">
        <v>278</v>
      </c>
      <c r="P24">
        <v>9</v>
      </c>
      <c r="Q24">
        <v>3</v>
      </c>
      <c r="R24" t="s">
        <v>55</v>
      </c>
    </row>
    <row r="25" spans="1:19" x14ac:dyDescent="0.25">
      <c r="I25" t="s">
        <v>279</v>
      </c>
      <c r="J25">
        <v>1</v>
      </c>
      <c r="K25">
        <v>11</v>
      </c>
      <c r="L25">
        <v>1</v>
      </c>
      <c r="O25" t="s">
        <v>279</v>
      </c>
      <c r="P25">
        <v>1</v>
      </c>
      <c r="Q25">
        <v>11</v>
      </c>
      <c r="R25">
        <v>1</v>
      </c>
    </row>
    <row r="26" spans="1:19" x14ac:dyDescent="0.25">
      <c r="A26" s="241" t="str">
        <f>'masse e forze'!K9</f>
        <v>V</v>
      </c>
      <c r="B26" s="241" t="s">
        <v>222</v>
      </c>
      <c r="C26" s="241" t="s">
        <v>223</v>
      </c>
      <c r="D26" s="241" t="s">
        <v>121</v>
      </c>
      <c r="E26" s="241" t="s">
        <v>224</v>
      </c>
      <c r="F26" s="241" t="s">
        <v>226</v>
      </c>
      <c r="G26" s="241" t="s">
        <v>217</v>
      </c>
      <c r="I26" t="s">
        <v>280</v>
      </c>
      <c r="J26">
        <f>'[14]y 30x80 2 tr emerg'!$L$5</f>
        <v>26.686621143608484</v>
      </c>
      <c r="K26">
        <f>'[14]y 30x80 1 tr emerg'!$L$5</f>
        <v>15.685016670348791</v>
      </c>
      <c r="L26" t="s">
        <v>55</v>
      </c>
      <c r="O26" t="s">
        <v>280</v>
      </c>
      <c r="P26">
        <f>'[6]y 30x80 2 tr emerg'!$L$5</f>
        <v>25.333748699753201</v>
      </c>
      <c r="Q26">
        <f>'[6]y 30x80 1 tr emerg'!$L$5</f>
        <v>14.681193488833213</v>
      </c>
      <c r="R26" t="s">
        <v>55</v>
      </c>
    </row>
    <row r="27" spans="1:19" x14ac:dyDescent="0.25">
      <c r="A27" s="65">
        <f>Fx!K10</f>
        <v>418.05992581325859</v>
      </c>
      <c r="B27" s="65">
        <f>A27/E18</f>
        <v>1.3981513185211256</v>
      </c>
      <c r="C27" s="65">
        <f t="shared" ref="C27:C30" si="1">C28+B27</f>
        <v>18.042542137917017</v>
      </c>
      <c r="D27" s="65">
        <f>'masse e forze'!E10</f>
        <v>353.8073394495413</v>
      </c>
      <c r="E27" s="65">
        <f>I32*C27</f>
        <v>7542.8638276601805</v>
      </c>
      <c r="F27" s="65">
        <f>(D27*(C27^2))/1000</f>
        <v>115.1760802567393</v>
      </c>
      <c r="G27" s="241">
        <v>6</v>
      </c>
      <c r="I27" t="s">
        <v>281</v>
      </c>
      <c r="J27">
        <f>'[14]y 80x30 2 tr emerg'!$L$5</f>
        <v>11.977099944989302</v>
      </c>
      <c r="K27">
        <f>'[14]y 80x30 1 tr emerg'!$L$5</f>
        <v>8.9899269792572607</v>
      </c>
      <c r="L27">
        <f>'[14]y 80x30 1 tr spess'!$L$5</f>
        <v>3.7529573581146227</v>
      </c>
      <c r="O27" t="s">
        <v>281</v>
      </c>
      <c r="P27">
        <f>'[6]y 80x30 2 tr emerg'!$L$5</f>
        <v>11.743655791615245</v>
      </c>
      <c r="Q27">
        <f>'[6]y 80x30 1 tr emerg'!$L$5</f>
        <v>8.7129642430861924</v>
      </c>
      <c r="R27">
        <f>'[6]y 80x30 1 tr spess'!$L$5</f>
        <v>7.4734857469728491</v>
      </c>
    </row>
    <row r="28" spans="1:19" x14ac:dyDescent="0.25">
      <c r="A28" s="65">
        <f>Fx!K11</f>
        <v>733.6237107646898</v>
      </c>
      <c r="B28" s="65">
        <f t="shared" ref="B28:B32" si="2">A28/E19</f>
        <v>2.6623051267456392</v>
      </c>
      <c r="C28" s="65">
        <f t="shared" si="1"/>
        <v>16.644390819395891</v>
      </c>
      <c r="D28" s="65">
        <f>'masse e forze'!E11</f>
        <v>318.8583078491335</v>
      </c>
      <c r="E28" s="65">
        <f t="shared" ref="E28:E32" si="3">I33*C28</f>
        <v>5252.3669651794216</v>
      </c>
      <c r="F28" s="65">
        <f t="shared" ref="F28:F32" si="4">(D28*(C28^2))/1000</f>
        <v>88.335149103182033</v>
      </c>
      <c r="G28" s="241">
        <v>5</v>
      </c>
    </row>
    <row r="29" spans="1:19" x14ac:dyDescent="0.25">
      <c r="A29" s="65">
        <f>Fx!K12</f>
        <v>987.98724651341922</v>
      </c>
      <c r="B29" s="65">
        <f t="shared" si="2"/>
        <v>3.5853850863275349</v>
      </c>
      <c r="C29" s="65">
        <f t="shared" si="1"/>
        <v>13.982085692650251</v>
      </c>
      <c r="D29" s="65">
        <f>'masse e forze'!E12</f>
        <v>318.8583078491335</v>
      </c>
      <c r="E29" s="65">
        <f t="shared" si="3"/>
        <v>3556.5327539242403</v>
      </c>
      <c r="F29" s="65">
        <f t="shared" si="4"/>
        <v>62.336391146826827</v>
      </c>
      <c r="G29" s="241">
        <v>4</v>
      </c>
    </row>
    <row r="30" spans="1:19" x14ac:dyDescent="0.25">
      <c r="A30" s="65">
        <f>Fx!K13</f>
        <v>1181.1505330594468</v>
      </c>
      <c r="B30" s="65">
        <f t="shared" si="2"/>
        <v>3.5580405266842887</v>
      </c>
      <c r="C30" s="65">
        <f t="shared" si="1"/>
        <v>10.396700606322716</v>
      </c>
      <c r="D30" s="65">
        <f>'masse e forze'!E13</f>
        <v>318.8583078491335</v>
      </c>
      <c r="E30" s="65">
        <f t="shared" si="3"/>
        <v>2008.2608583523738</v>
      </c>
      <c r="F30" s="65">
        <f t="shared" si="4"/>
        <v>34.465835635088155</v>
      </c>
      <c r="G30" s="241">
        <v>3</v>
      </c>
    </row>
    <row r="31" spans="1:19" x14ac:dyDescent="0.25">
      <c r="A31" s="65">
        <f>Fx!K14</f>
        <v>1313.1135704027727</v>
      </c>
      <c r="B31" s="65">
        <f t="shared" si="2"/>
        <v>3.9555595742147647</v>
      </c>
      <c r="C31" s="65">
        <f>C32+B31</f>
        <v>6.8386600796384265</v>
      </c>
      <c r="D31" s="65">
        <f>'masse e forze'!E14</f>
        <v>318.8583078491335</v>
      </c>
      <c r="E31" s="65">
        <f t="shared" si="3"/>
        <v>902.450355467637</v>
      </c>
      <c r="F31" s="65">
        <f t="shared" si="4"/>
        <v>14.912133112148858</v>
      </c>
      <c r="G31" s="241">
        <v>2</v>
      </c>
      <c r="I31" s="241" t="s">
        <v>313</v>
      </c>
      <c r="J31" s="241" t="s">
        <v>314</v>
      </c>
    </row>
    <row r="32" spans="1:19" x14ac:dyDescent="0.25">
      <c r="A32" s="65">
        <f>Fx!K15</f>
        <v>1383.8763585433967</v>
      </c>
      <c r="B32" s="65">
        <f t="shared" si="2"/>
        <v>2.8831005054236623</v>
      </c>
      <c r="C32" s="65">
        <f>B32</f>
        <v>2.8831005054236623</v>
      </c>
      <c r="D32" s="65">
        <f>'masse e forze'!E15</f>
        <v>318.8583078491335</v>
      </c>
      <c r="E32" s="65">
        <f t="shared" si="3"/>
        <v>204.0162302534205</v>
      </c>
      <c r="F32" s="65">
        <f t="shared" si="4"/>
        <v>2.6504358760695639</v>
      </c>
      <c r="G32" s="241">
        <v>1</v>
      </c>
      <c r="I32" s="65">
        <f>Fx!J10</f>
        <v>418.05992581325859</v>
      </c>
      <c r="J32" s="65">
        <f>Fy!J10</f>
        <v>479.88441621938517</v>
      </c>
    </row>
    <row r="33" spans="1:10" x14ac:dyDescent="0.25">
      <c r="A33" s="65"/>
      <c r="B33" s="65"/>
      <c r="C33" s="65"/>
      <c r="D33" s="65"/>
      <c r="E33" s="65">
        <f>SUM(E27:E32)</f>
        <v>19466.490990837272</v>
      </c>
      <c r="F33" s="65">
        <f>SUM(F27:F32)</f>
        <v>317.87602513005476</v>
      </c>
      <c r="G33" s="241" t="s">
        <v>225</v>
      </c>
      <c r="I33" s="65">
        <f>Fx!J11</f>
        <v>315.56378495143127</v>
      </c>
      <c r="J33" s="65">
        <f>Fy!J11</f>
        <v>362.23070753985792</v>
      </c>
    </row>
    <row r="34" spans="1:10" x14ac:dyDescent="0.25">
      <c r="F34" s="91" t="s">
        <v>227</v>
      </c>
      <c r="G34" s="260">
        <f>2*PI()*SQRT(F33/E33)</f>
        <v>0.80290639810341768</v>
      </c>
      <c r="I34" s="65">
        <f>Fx!J12</f>
        <v>254.36353574872942</v>
      </c>
      <c r="J34" s="65">
        <f>Fy!J12</f>
        <v>291.97990365333999</v>
      </c>
    </row>
    <row r="35" spans="1:10" x14ac:dyDescent="0.25">
      <c r="I35" s="65">
        <f>Fx!J13</f>
        <v>193.16328654602762</v>
      </c>
      <c r="J35" s="65">
        <f>Fy!J13</f>
        <v>221.72909976682215</v>
      </c>
    </row>
    <row r="36" spans="1:10" x14ac:dyDescent="0.25">
      <c r="A36" s="241" t="s">
        <v>217</v>
      </c>
      <c r="B36" s="241" t="s">
        <v>230</v>
      </c>
      <c r="C36" s="241" t="s">
        <v>231</v>
      </c>
      <c r="D36" s="241" t="s">
        <v>121</v>
      </c>
      <c r="E36" s="241" t="s">
        <v>224</v>
      </c>
      <c r="F36" s="241" t="s">
        <v>226</v>
      </c>
      <c r="G36" s="91"/>
      <c r="H36" s="91"/>
      <c r="I36" s="65">
        <f>Fx!J14</f>
        <v>131.96303734332579</v>
      </c>
      <c r="J36" s="65">
        <f>Fy!J14</f>
        <v>151.47829588030424</v>
      </c>
    </row>
    <row r="37" spans="1:10" x14ac:dyDescent="0.25">
      <c r="A37" s="241">
        <v>6</v>
      </c>
      <c r="B37" s="65">
        <f>I40/F18</f>
        <v>1.1941763485000383</v>
      </c>
      <c r="C37" s="65">
        <f t="shared" ref="C37:C40" si="5">C38+B37</f>
        <v>15.508820984365324</v>
      </c>
      <c r="D37" s="65">
        <f>D27</f>
        <v>353.8073394495413</v>
      </c>
      <c r="E37" s="65">
        <f>J32*C37</f>
        <v>7442.4415043331037</v>
      </c>
      <c r="F37" s="65">
        <f>(D37*(C37^2))/1000</f>
        <v>85.098989631716549</v>
      </c>
      <c r="G37" s="91"/>
      <c r="H37" s="91"/>
      <c r="I37" s="65">
        <f>Fx!J15</f>
        <v>70.762788140623968</v>
      </c>
      <c r="J37" s="65">
        <f>Fy!J15</f>
        <v>81.227491993786316</v>
      </c>
    </row>
    <row r="38" spans="1:10" x14ac:dyDescent="0.25">
      <c r="A38" s="241">
        <v>5</v>
      </c>
      <c r="B38" s="65">
        <f t="shared" ref="B38:B42" si="6">I41/F19</f>
        <v>2.1754062263339682</v>
      </c>
      <c r="C38" s="65">
        <f t="shared" si="5"/>
        <v>14.314644635865285</v>
      </c>
      <c r="D38" s="65">
        <f t="shared" ref="D38:D42" si="7">D28</f>
        <v>318.8583078491335</v>
      </c>
      <c r="E38" s="65">
        <f t="shared" ref="E38:E42" si="8">J33*C38</f>
        <v>5185.2038546311142</v>
      </c>
      <c r="F38" s="65">
        <f t="shared" ref="F38:F42" si="9">(D38*(C38^2))/1000</f>
        <v>65.33695328112762</v>
      </c>
      <c r="G38" s="91"/>
      <c r="H38" s="91"/>
    </row>
    <row r="39" spans="1:10" x14ac:dyDescent="0.25">
      <c r="A39" s="241">
        <v>4</v>
      </c>
      <c r="B39" s="65">
        <f t="shared" si="6"/>
        <v>2.9296675885292176</v>
      </c>
      <c r="C39" s="65">
        <f t="shared" si="5"/>
        <v>12.139238409531316</v>
      </c>
      <c r="D39" s="65">
        <f t="shared" si="7"/>
        <v>318.8583078491335</v>
      </c>
      <c r="E39" s="65">
        <f t="shared" si="8"/>
        <v>3544.4136612398779</v>
      </c>
      <c r="F39" s="65">
        <f t="shared" si="9"/>
        <v>46.98731391062605</v>
      </c>
      <c r="G39" s="91"/>
      <c r="H39" s="91"/>
      <c r="I39" s="241" t="str">
        <f>Fy!K9</f>
        <v>V</v>
      </c>
      <c r="J39" s="15" t="s">
        <v>315</v>
      </c>
    </row>
    <row r="40" spans="1:10" x14ac:dyDescent="0.25">
      <c r="A40" s="241">
        <v>3</v>
      </c>
      <c r="B40" s="65">
        <f t="shared" si="6"/>
        <v>2.958023407421563</v>
      </c>
      <c r="C40" s="65">
        <f t="shared" si="5"/>
        <v>9.2095708210020994</v>
      </c>
      <c r="D40" s="65">
        <f t="shared" si="7"/>
        <v>318.8583078491335</v>
      </c>
      <c r="E40" s="65">
        <f t="shared" si="8"/>
        <v>2042.0298473795885</v>
      </c>
      <c r="F40" s="65">
        <f t="shared" si="9"/>
        <v>27.044348322493644</v>
      </c>
      <c r="G40" s="91"/>
      <c r="H40" s="91"/>
      <c r="I40" s="65">
        <f>Fy!K10</f>
        <v>479.88441621938517</v>
      </c>
      <c r="J40" s="15"/>
    </row>
    <row r="41" spans="1:10" x14ac:dyDescent="0.25">
      <c r="A41" s="241">
        <v>2</v>
      </c>
      <c r="B41" s="65">
        <f t="shared" si="6"/>
        <v>3.2885060533252219</v>
      </c>
      <c r="C41" s="65">
        <f>C42+B41</f>
        <v>6.2515474135805373</v>
      </c>
      <c r="D41" s="65">
        <f t="shared" si="7"/>
        <v>318.8583078491335</v>
      </c>
      <c r="E41" s="65">
        <f t="shared" si="8"/>
        <v>946.97374882410338</v>
      </c>
      <c r="F41" s="65">
        <f t="shared" si="9"/>
        <v>12.461570984807333</v>
      </c>
      <c r="G41" s="91"/>
      <c r="H41" s="91"/>
      <c r="I41" s="65">
        <f>Fy!K11</f>
        <v>842.11512375924303</v>
      </c>
      <c r="J41" s="15"/>
    </row>
    <row r="42" spans="1:10" x14ac:dyDescent="0.25">
      <c r="A42" s="241">
        <v>1</v>
      </c>
      <c r="B42" s="65">
        <f t="shared" si="6"/>
        <v>2.9630413602553149</v>
      </c>
      <c r="C42" s="65">
        <f>B42</f>
        <v>2.9630413602553149</v>
      </c>
      <c r="D42" s="65">
        <f t="shared" si="7"/>
        <v>318.8583078491335</v>
      </c>
      <c r="E42" s="65">
        <f t="shared" si="8"/>
        <v>240.6804183673963</v>
      </c>
      <c r="F42" s="65">
        <f t="shared" si="9"/>
        <v>2.7994528963182166</v>
      </c>
      <c r="G42" s="91"/>
      <c r="H42" s="91"/>
      <c r="I42" s="65">
        <f>Fy!K12</f>
        <v>1134.095027412583</v>
      </c>
      <c r="J42" s="15"/>
    </row>
    <row r="43" spans="1:10" x14ac:dyDescent="0.25">
      <c r="A43" s="241" t="s">
        <v>225</v>
      </c>
      <c r="B43" s="65"/>
      <c r="C43" s="65"/>
      <c r="D43" s="65"/>
      <c r="E43" s="65">
        <f>SUM(E37:E42)</f>
        <v>19401.743034775187</v>
      </c>
      <c r="F43" s="65">
        <f>SUM(F37:F42)</f>
        <v>239.72862902708943</v>
      </c>
      <c r="G43" s="91"/>
      <c r="H43" s="91"/>
      <c r="I43" s="65">
        <f>Fy!K13</f>
        <v>1355.8241271794052</v>
      </c>
      <c r="J43" s="15"/>
    </row>
    <row r="44" spans="1:10" x14ac:dyDescent="0.25">
      <c r="A44" s="91"/>
      <c r="B44" s="91"/>
      <c r="C44" s="91"/>
      <c r="D44" s="91"/>
      <c r="E44" s="91"/>
      <c r="F44" s="91" t="s">
        <v>232</v>
      </c>
      <c r="G44" s="260">
        <f>2*PI()*SQRT(F43/E43)</f>
        <v>0.69842446705000216</v>
      </c>
      <c r="H44" s="91"/>
      <c r="I44" s="65">
        <f>Fy!K14</f>
        <v>1507.3024230597093</v>
      </c>
      <c r="J44" s="15"/>
    </row>
    <row r="45" spans="1:10" x14ac:dyDescent="0.25">
      <c r="A45" s="91"/>
      <c r="B45" s="91"/>
      <c r="C45" s="91"/>
      <c r="D45" s="91"/>
      <c r="E45" s="91"/>
      <c r="F45" s="91"/>
      <c r="G45" s="91"/>
      <c r="H45" s="91"/>
      <c r="I45" s="65">
        <f>Fy!K15</f>
        <v>1588.5299150534956</v>
      </c>
      <c r="J45" s="15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K2" sqref="K2"/>
    </sheetView>
  </sheetViews>
  <sheetFormatPr defaultRowHeight="15" x14ac:dyDescent="0.25"/>
  <cols>
    <col min="2" max="2" width="12.5703125" customWidth="1"/>
    <col min="3" max="3" width="13.42578125" customWidth="1"/>
    <col min="4" max="4" width="17.140625" customWidth="1"/>
    <col min="5" max="5" width="16.28515625" customWidth="1"/>
    <col min="6" max="6" width="14" customWidth="1"/>
    <col min="7" max="7" width="14.5703125" customWidth="1"/>
    <col min="8" max="8" width="12.7109375" customWidth="1"/>
    <col min="9" max="9" width="14.28515625" customWidth="1"/>
    <col min="10" max="11" width="13.7109375" customWidth="1"/>
    <col min="12" max="12" width="14.42578125" customWidth="1"/>
    <col min="13" max="13" width="14.7109375" customWidth="1"/>
  </cols>
  <sheetData>
    <row r="1" spans="1:13" x14ac:dyDescent="0.25">
      <c r="A1" s="328" t="s">
        <v>176</v>
      </c>
      <c r="B1" s="326" t="s">
        <v>343</v>
      </c>
      <c r="C1" s="326" t="s">
        <v>344</v>
      </c>
      <c r="D1" s="326" t="s">
        <v>345</v>
      </c>
      <c r="E1" s="326" t="s">
        <v>383</v>
      </c>
      <c r="F1" s="327" t="s">
        <v>346</v>
      </c>
      <c r="G1" s="327" t="s">
        <v>347</v>
      </c>
      <c r="H1" s="327" t="s">
        <v>348</v>
      </c>
      <c r="I1" s="327" t="s">
        <v>384</v>
      </c>
      <c r="K1" s="332" t="s">
        <v>400</v>
      </c>
      <c r="L1" s="332" t="s">
        <v>401</v>
      </c>
    </row>
    <row r="2" spans="1:13" x14ac:dyDescent="0.25">
      <c r="A2" s="328">
        <v>6</v>
      </c>
      <c r="B2" s="138">
        <f>'Confronto p-s err'!B54</f>
        <v>50.507084378358513</v>
      </c>
      <c r="C2" s="335">
        <f>'Confronto p-s err'!C54</f>
        <v>63.920270394583532</v>
      </c>
      <c r="D2" s="285">
        <f>'Confronto p-s err'!D54</f>
        <v>100.72799999999999</v>
      </c>
      <c r="E2" s="210">
        <f>[15]pil!$P$2</f>
        <v>109.304</v>
      </c>
      <c r="F2" s="138">
        <f>'Confronto p-s err'!E54</f>
        <v>50.507084378358513</v>
      </c>
      <c r="G2" s="138">
        <f>'Confronto p-s err'!F54</f>
        <v>49.917394971987136</v>
      </c>
      <c r="H2" s="324">
        <f>'Confronto p-s err'!G54</f>
        <v>73.55</v>
      </c>
      <c r="I2" s="209">
        <f>[15]pil!$Q$2</f>
        <v>83.77</v>
      </c>
      <c r="K2" s="330">
        <f>D2+(D2*'Confronto p-s err'!$M$51)</f>
        <v>102.95716110246622</v>
      </c>
      <c r="L2" s="330">
        <f>H2+(H2*'Confronto p-s err'!$M$52)</f>
        <v>75.897959625586083</v>
      </c>
    </row>
    <row r="3" spans="1:13" x14ac:dyDescent="0.25">
      <c r="A3" s="328">
        <v>5</v>
      </c>
      <c r="B3" s="138">
        <f>'Confronto p-s err'!B55</f>
        <v>110.7891248768837</v>
      </c>
      <c r="C3" s="335">
        <f>'Confronto p-s err'!C55</f>
        <v>112.72556103698506</v>
      </c>
      <c r="D3" s="285">
        <f>'Confronto p-s err'!D55</f>
        <v>118.05800000000001</v>
      </c>
      <c r="E3" s="210">
        <f>[15]pil!$P$6</f>
        <v>124.261</v>
      </c>
      <c r="F3" s="138">
        <f>'Confronto p-s err'!E55</f>
        <v>110.7891248768837</v>
      </c>
      <c r="G3" s="138">
        <f>'Confronto p-s err'!F55</f>
        <v>88.177911452517094</v>
      </c>
      <c r="H3" s="324">
        <f>'Confronto p-s err'!G55</f>
        <v>100.60299999999999</v>
      </c>
      <c r="I3" s="209">
        <f>[15]pil!$Q$6</f>
        <v>112.01</v>
      </c>
      <c r="K3" s="330">
        <f>D3+(D3*'Confronto p-s err'!$M$51)</f>
        <v>120.6706826844071</v>
      </c>
      <c r="L3" s="330">
        <f>H3+(H3*'Confronto p-s err'!$M$52)</f>
        <v>103.81458099541587</v>
      </c>
    </row>
    <row r="4" spans="1:13" x14ac:dyDescent="0.25">
      <c r="A4" s="328">
        <v>4</v>
      </c>
      <c r="B4" s="138">
        <f>'Confronto p-s err'!B56</f>
        <v>149.20216021460143</v>
      </c>
      <c r="C4" s="335">
        <f>'Confronto p-s err'!C56</f>
        <v>151.81000153951359</v>
      </c>
      <c r="D4" s="285">
        <f>'Confronto p-s err'!D56</f>
        <v>178.95400000000001</v>
      </c>
      <c r="E4" s="210">
        <f>[15]pil!$P$10</f>
        <v>185.80600000000001</v>
      </c>
      <c r="F4" s="138">
        <f>'Confronto p-s err'!E56</f>
        <v>149.20216021460143</v>
      </c>
      <c r="G4" s="138">
        <f>'Confronto p-s err'!F56</f>
        <v>118.75113993857786</v>
      </c>
      <c r="H4" s="324">
        <f>'Confronto p-s err'!G56</f>
        <v>151.12899999999999</v>
      </c>
      <c r="I4" s="209">
        <f>[15]pil!$Q$10</f>
        <v>168.05600000000001</v>
      </c>
      <c r="K4" s="330">
        <f>D4+(D4*'Confronto p-s err'!$M$51)</f>
        <v>182.91434167193572</v>
      </c>
      <c r="L4" s="330">
        <f>H4+(H4*'Confronto p-s err'!$M$52)</f>
        <v>155.95353827675322</v>
      </c>
    </row>
    <row r="5" spans="1:13" x14ac:dyDescent="0.25">
      <c r="A5" s="328">
        <v>3</v>
      </c>
      <c r="B5" s="138">
        <f>'Confronto p-s err'!B57</f>
        <v>178.37296148610139</v>
      </c>
      <c r="C5" s="335">
        <f>'Confronto p-s err'!C57</f>
        <v>182.87884381682881</v>
      </c>
      <c r="D5" s="285">
        <f>'Confronto p-s err'!D57</f>
        <v>197.56399999999999</v>
      </c>
      <c r="E5" s="210">
        <f>[15]pil!$P$14</f>
        <v>205.018</v>
      </c>
      <c r="F5" s="138">
        <f>'Confronto p-s err'!E57</f>
        <v>178.37296148610139</v>
      </c>
      <c r="G5" s="138">
        <f>'Confronto p-s err'!F57</f>
        <v>145.92439157766387</v>
      </c>
      <c r="H5" s="324">
        <f>'Confronto p-s err'!G57</f>
        <v>175.46799999999999</v>
      </c>
      <c r="I5" s="209">
        <f>[15]pil!$Q$14</f>
        <v>196.85300000000001</v>
      </c>
      <c r="K5" s="330">
        <f>D5+(D5*'Confronto p-s err'!$M$51)</f>
        <v>201.93619029512783</v>
      </c>
      <c r="L5" s="330">
        <f>H5+(H5*'Confronto p-s err'!$M$52)</f>
        <v>181.0695197767823</v>
      </c>
    </row>
    <row r="6" spans="1:13" x14ac:dyDescent="0.25">
      <c r="A6" s="328">
        <v>2</v>
      </c>
      <c r="B6" s="138">
        <f>'Confronto p-s err'!B58</f>
        <v>198.30152869138351</v>
      </c>
      <c r="C6" s="335">
        <f>'Confronto p-s err'!C58</f>
        <v>203.31082688793987</v>
      </c>
      <c r="D6" s="285">
        <f>'Confronto p-s err'!D58</f>
        <v>205.81700000000001</v>
      </c>
      <c r="E6" s="210">
        <f>[15]pil!$P$18</f>
        <v>214.93799999999999</v>
      </c>
      <c r="F6" s="138">
        <f>'Confronto p-s err'!E58</f>
        <v>198.30152869138351</v>
      </c>
      <c r="G6" s="138">
        <f>'Confronto p-s err'!F58</f>
        <v>162.22766994573635</v>
      </c>
      <c r="H6" s="324">
        <f>'Confronto p-s err'!G58</f>
        <v>193.101</v>
      </c>
      <c r="I6" s="209">
        <f>[15]pil!$Q$18</f>
        <v>218.80799999999999</v>
      </c>
      <c r="K6" s="330">
        <f>D6+(D6*'Confronto p-s err'!$M$51)</f>
        <v>210.37183331969553</v>
      </c>
      <c r="L6" s="330">
        <f>H6+(H6*'Confronto p-s err'!$M$52)</f>
        <v>199.26542354398777</v>
      </c>
    </row>
    <row r="7" spans="1:13" x14ac:dyDescent="0.25">
      <c r="A7" s="328" t="s">
        <v>339</v>
      </c>
      <c r="B7" s="138">
        <f>'Confronto p-s err'!B59</f>
        <v>193.31377219316425</v>
      </c>
      <c r="C7" s="335">
        <f>'Confronto p-s err'!C59</f>
        <v>161.39684015652858</v>
      </c>
      <c r="D7" s="285">
        <f>'Confronto p-s err'!D59</f>
        <v>148.994</v>
      </c>
      <c r="E7" s="210">
        <f>[15]pil!$P$22</f>
        <v>156.40100000000001</v>
      </c>
      <c r="F7" s="138">
        <f>'Confronto p-s err'!E59</f>
        <v>193.31377219316425</v>
      </c>
      <c r="G7" s="138">
        <f>'Confronto p-s err'!F59</f>
        <v>162.7396431597823</v>
      </c>
      <c r="H7" s="324">
        <f>'Confronto p-s err'!G59</f>
        <v>174.68</v>
      </c>
      <c r="I7" s="209">
        <f>[15]pil!$Q$22</f>
        <v>199.495</v>
      </c>
      <c r="K7" s="330">
        <f>D7+(D7*'Confronto p-s err'!$M$51)</f>
        <v>152.29131186264843</v>
      </c>
      <c r="L7" s="330">
        <f>H7+(H7*'Confronto p-s err'!$M$52)</f>
        <v>180.2563642066265</v>
      </c>
    </row>
    <row r="8" spans="1:13" x14ac:dyDescent="0.25">
      <c r="A8" s="328" t="s">
        <v>340</v>
      </c>
      <c r="B8" s="138">
        <f>'Confronto p-s err'!B60</f>
        <v>289.97065828974638</v>
      </c>
      <c r="C8" s="335">
        <f>'Confronto p-s err'!C60</f>
        <v>242.09526023479285</v>
      </c>
      <c r="D8" s="285">
        <f>'Confronto p-s err'!D60</f>
        <v>-263.85399999999998</v>
      </c>
      <c r="E8" s="210">
        <f>[15]pil!$P$26</f>
        <v>-274.99099999999999</v>
      </c>
      <c r="F8" s="138">
        <f>'Confronto p-s err'!E60</f>
        <v>289.97065828974638</v>
      </c>
      <c r="G8" s="138">
        <f>'Confronto p-s err'!F60</f>
        <v>244.10946473967348</v>
      </c>
      <c r="H8" s="324">
        <f>'Confronto p-s err'!G60</f>
        <v>-276.47699999999998</v>
      </c>
      <c r="I8" s="209">
        <f>[15]pil!$Q$26</f>
        <v>-313.87099999999998</v>
      </c>
      <c r="K8" s="330">
        <f>D8+(D8*'Confronto p-s err'!$M$51)</f>
        <v>-269.69322120492933</v>
      </c>
      <c r="L8" s="330">
        <f>H8+(H8*'Confronto p-s err'!$M$52)</f>
        <v>-285.30306163702465</v>
      </c>
    </row>
    <row r="10" spans="1:13" x14ac:dyDescent="0.25">
      <c r="A10" s="328" t="s">
        <v>176</v>
      </c>
      <c r="B10" s="326" t="s">
        <v>349</v>
      </c>
      <c r="C10" s="326" t="s">
        <v>350</v>
      </c>
      <c r="D10" s="326" t="s">
        <v>353</v>
      </c>
      <c r="E10" s="293" t="s">
        <v>354</v>
      </c>
      <c r="F10" s="326" t="s">
        <v>385</v>
      </c>
      <c r="G10" s="326" t="s">
        <v>386</v>
      </c>
      <c r="H10" s="327" t="s">
        <v>351</v>
      </c>
      <c r="I10" s="327" t="s">
        <v>352</v>
      </c>
      <c r="J10" s="327" t="s">
        <v>355</v>
      </c>
      <c r="K10" s="327" t="s">
        <v>356</v>
      </c>
      <c r="L10" s="327" t="s">
        <v>387</v>
      </c>
      <c r="M10" s="327" t="s">
        <v>388</v>
      </c>
    </row>
    <row r="11" spans="1:13" x14ac:dyDescent="0.25">
      <c r="A11" s="328">
        <v>6</v>
      </c>
      <c r="B11" s="138">
        <f>'Confronto p-s err'!B63</f>
        <v>25.253542189179257</v>
      </c>
      <c r="C11" s="138">
        <f>'Confronto p-s err'!C63</f>
        <v>31.960135197291766</v>
      </c>
      <c r="D11" s="210">
        <f>'Confronto p-s err'!D63</f>
        <v>56.442999999999998</v>
      </c>
      <c r="E11" s="324">
        <f>'Confronto p-s err'!E63</f>
        <v>56.472000000000001</v>
      </c>
      <c r="F11" s="209">
        <f>[15]tra!$P$3</f>
        <v>60.368000000000002</v>
      </c>
      <c r="G11" s="325">
        <f>[15]tra!$P$2</f>
        <v>60.393999999999998</v>
      </c>
      <c r="H11" s="138">
        <f>'Confronto p-s err'!F63</f>
        <v>25.253542189179257</v>
      </c>
      <c r="I11" s="138">
        <f>'Confronto p-s err'!G63</f>
        <v>24.958697485993568</v>
      </c>
      <c r="J11" s="210">
        <f>'Confronto p-s err'!H63</f>
        <v>44.128</v>
      </c>
      <c r="K11" s="324">
        <f>'Confronto p-s err'!I63</f>
        <v>44.313000000000002</v>
      </c>
      <c r="L11" s="209">
        <f>[15]tra!$Q$3</f>
        <v>49.462000000000003</v>
      </c>
      <c r="M11" s="325">
        <f>[15]tra!$Q$2</f>
        <v>49.710999999999999</v>
      </c>
    </row>
    <row r="12" spans="1:13" x14ac:dyDescent="0.25">
      <c r="A12" s="328">
        <v>5</v>
      </c>
      <c r="B12" s="138">
        <f>'Confronto p-s err'!B64</f>
        <v>80.648104627621109</v>
      </c>
      <c r="C12" s="138">
        <f>'Confronto p-s err'!C64</f>
        <v>88.322915715784291</v>
      </c>
      <c r="D12" s="210">
        <f>'Confronto p-s err'!D64</f>
        <v>91.578000000000003</v>
      </c>
      <c r="E12" s="324">
        <f>'Confronto p-s err'!E64</f>
        <v>91.567999999999998</v>
      </c>
      <c r="F12" s="209">
        <f>[15]tra!$P$7</f>
        <v>96.91</v>
      </c>
      <c r="G12" s="325">
        <f>[15]tra!$P$6</f>
        <v>96.897000000000006</v>
      </c>
      <c r="H12" s="138">
        <f>'Confronto p-s err'!F64</f>
        <v>80.648104627621109</v>
      </c>
      <c r="I12" s="138">
        <f>'Confronto p-s err'!G64</f>
        <v>69.047653212252115</v>
      </c>
      <c r="J12" s="210">
        <f>'Confronto p-s err'!H64</f>
        <v>75.244</v>
      </c>
      <c r="K12" s="324">
        <f>'Confronto p-s err'!I64</f>
        <v>75.114000000000004</v>
      </c>
      <c r="L12" s="209">
        <f>[15]tra!$Q$7</f>
        <v>83.668999999999997</v>
      </c>
      <c r="M12" s="325">
        <f>[15]tra!$Q$6</f>
        <v>83.534000000000006</v>
      </c>
    </row>
    <row r="13" spans="1:13" x14ac:dyDescent="0.25">
      <c r="A13" s="328">
        <v>4</v>
      </c>
      <c r="B13" s="138">
        <f>'Confronto p-s err'!B65</f>
        <v>129.99564254574256</v>
      </c>
      <c r="C13" s="138">
        <f>'Confronto p-s err'!C65</f>
        <v>132.26778128824932</v>
      </c>
      <c r="D13" s="210">
        <f>'Confronto p-s err'!D65</f>
        <v>156.56299999999999</v>
      </c>
      <c r="E13" s="324">
        <f>'Confronto p-s err'!E65</f>
        <v>156.989</v>
      </c>
      <c r="F13" s="209">
        <f>[15]tra!$P$11</f>
        <v>172.61799999999999</v>
      </c>
      <c r="G13" s="325">
        <f>[15]tra!$P$10</f>
        <v>171.23099999999999</v>
      </c>
      <c r="H13" s="138">
        <f>'Confronto p-s err'!F65</f>
        <v>129.99564254574256</v>
      </c>
      <c r="I13" s="138">
        <f>'Confronto p-s err'!G65</f>
        <v>103.46452569554748</v>
      </c>
      <c r="J13" s="210">
        <f>'Confronto p-s err'!H65</f>
        <v>132.99199999999999</v>
      </c>
      <c r="K13" s="324">
        <f>'Confronto p-s err'!I65</f>
        <v>133.96700000000001</v>
      </c>
      <c r="L13" s="209">
        <f>[15]tra!$Q$11</f>
        <v>146.83600000000001</v>
      </c>
      <c r="M13" s="325">
        <f>[15]tra!$Q$10</f>
        <v>147.92699999999999</v>
      </c>
    </row>
    <row r="14" spans="1:13" x14ac:dyDescent="0.25">
      <c r="A14" s="328">
        <v>3</v>
      </c>
      <c r="B14" s="138">
        <f>'Confronto p-s err'!B66</f>
        <v>163.78756085035141</v>
      </c>
      <c r="C14" s="138">
        <f>'Confronto p-s err'!C66</f>
        <v>167.34442267817121</v>
      </c>
      <c r="D14" s="210">
        <f>'Confronto p-s err'!D66</f>
        <v>196.102</v>
      </c>
      <c r="E14" s="324">
        <f>'Confronto p-s err'!E66</f>
        <v>196.102</v>
      </c>
      <c r="F14" s="209">
        <f>[15]tra!$P$15</f>
        <v>212.45599999999999</v>
      </c>
      <c r="G14" s="325">
        <f>[15]tra!$P$14</f>
        <v>212.45599999999999</v>
      </c>
      <c r="H14" s="138">
        <f>'Confronto p-s err'!F66</f>
        <v>163.78756085035141</v>
      </c>
      <c r="I14" s="138">
        <f>'Confronto p-s err'!G66</f>
        <v>132.33776575812087</v>
      </c>
      <c r="J14" s="210">
        <f>'Confronto p-s err'!H66</f>
        <v>164.19300000000001</v>
      </c>
      <c r="K14" s="324">
        <f>'Confronto p-s err'!I66</f>
        <v>160.03899999999999</v>
      </c>
      <c r="L14" s="209">
        <f>[15]tra!$Q$15</f>
        <v>182.34700000000001</v>
      </c>
      <c r="M14" s="325">
        <f>[15]tra!$Q$14</f>
        <v>177.333</v>
      </c>
    </row>
    <row r="15" spans="1:13" x14ac:dyDescent="0.25">
      <c r="A15" s="328">
        <v>2</v>
      </c>
      <c r="B15" s="138">
        <f>'Confronto p-s err'!B67</f>
        <v>188.33724508874246</v>
      </c>
      <c r="C15" s="138">
        <f>'Confronto p-s err'!C67</f>
        <v>193.09483535238434</v>
      </c>
      <c r="D15" s="210">
        <f>'Confronto p-s err'!D67</f>
        <v>235.047</v>
      </c>
      <c r="E15" s="324">
        <f>'Confronto p-s err'!E67</f>
        <v>235.047</v>
      </c>
      <c r="F15" s="209">
        <f>[15]tra!$P$19</f>
        <v>255.56800000000001</v>
      </c>
      <c r="G15" s="325">
        <f>[15]tra!$P$18</f>
        <v>255.56800000000001</v>
      </c>
      <c r="H15" s="138">
        <f>'Confronto p-s err'!F67</f>
        <v>188.33724508874246</v>
      </c>
      <c r="I15" s="138">
        <f>'Confronto p-s err'!G67</f>
        <v>154.07603076170011</v>
      </c>
      <c r="J15" s="210">
        <f>'Confronto p-s err'!H67</f>
        <v>193.09299999999999</v>
      </c>
      <c r="K15" s="324">
        <f>'Confronto p-s err'!I67</f>
        <v>178.99</v>
      </c>
      <c r="L15" s="209">
        <f>[15]tra!$Q$19</f>
        <v>216.43899999999999</v>
      </c>
      <c r="M15" s="325">
        <f>[15]tra!$Q$18</f>
        <v>200.65700000000001</v>
      </c>
    </row>
    <row r="16" spans="1:13" x14ac:dyDescent="0.25">
      <c r="A16" s="328">
        <v>1</v>
      </c>
      <c r="B16" s="138">
        <f>'Confronto p-s err'!B68</f>
        <v>195.80765044227388</v>
      </c>
      <c r="C16" s="138">
        <f>'Confronto p-s err'!C68</f>
        <v>182.35383352223423</v>
      </c>
      <c r="D16" s="210">
        <f>'Confronto p-s err'!D68</f>
        <v>242.773</v>
      </c>
      <c r="E16" s="324">
        <f>'Confronto p-s err'!E68</f>
        <v>242.773</v>
      </c>
      <c r="F16" s="209">
        <f>[15]tra!$P$23</f>
        <v>266.339</v>
      </c>
      <c r="G16" s="325">
        <f>[15]tra!$P$22</f>
        <v>266.339</v>
      </c>
      <c r="H16" s="138">
        <f>'Confronto p-s err'!F68</f>
        <v>195.80765044227388</v>
      </c>
      <c r="I16" s="138">
        <f>'Confronto p-s err'!G68</f>
        <v>162.48365655275933</v>
      </c>
      <c r="J16" s="210">
        <f>'Confronto p-s err'!H68</f>
        <v>211.94300000000001</v>
      </c>
      <c r="K16" s="324">
        <f>'Confronto p-s err'!I68</f>
        <v>192.70099999999999</v>
      </c>
      <c r="L16" s="209">
        <f>[15]tra!$Q$23</f>
        <v>239.71299999999999</v>
      </c>
      <c r="M16" s="325">
        <f>[15]tra!$Q$22</f>
        <v>217.964</v>
      </c>
    </row>
    <row r="18" spans="1:9" x14ac:dyDescent="0.25">
      <c r="A18" s="328" t="s">
        <v>176</v>
      </c>
      <c r="B18" s="326" t="s">
        <v>357</v>
      </c>
      <c r="C18" s="326" t="s">
        <v>358</v>
      </c>
      <c r="D18" s="326" t="s">
        <v>359</v>
      </c>
      <c r="E18" s="326" t="s">
        <v>389</v>
      </c>
      <c r="F18" s="327" t="s">
        <v>360</v>
      </c>
      <c r="G18" s="327" t="s">
        <v>361</v>
      </c>
      <c r="H18" s="327" t="s">
        <v>362</v>
      </c>
      <c r="I18" s="327" t="s">
        <v>390</v>
      </c>
    </row>
    <row r="19" spans="1:9" x14ac:dyDescent="0.25">
      <c r="A19" s="328">
        <v>6</v>
      </c>
      <c r="B19" s="138">
        <f>'Confronto p-s err'!B71</f>
        <v>39.458659670592588</v>
      </c>
      <c r="C19" s="138">
        <f>'Confronto p-s err'!C71</f>
        <v>39.950168996614707</v>
      </c>
      <c r="D19" s="138">
        <f>'Confronto p-s err'!D71</f>
        <v>48.368000000000002</v>
      </c>
      <c r="E19" s="320">
        <f>[15]pil!$P$4</f>
        <v>53.476999999999997</v>
      </c>
      <c r="F19" s="138">
        <f>'Confronto p-s err'!E71</f>
        <v>39.458659670592588</v>
      </c>
      <c r="G19" s="138">
        <f>'Confronto p-s err'!F71</f>
        <v>31.19837185749196</v>
      </c>
      <c r="H19" s="138">
        <f>'Confronto p-s err'!G71</f>
        <v>34.524999999999999</v>
      </c>
      <c r="I19" s="320">
        <f>[15]pil!$Q$4</f>
        <v>40.15</v>
      </c>
    </row>
    <row r="20" spans="1:9" x14ac:dyDescent="0.25">
      <c r="A20" s="328">
        <v>5</v>
      </c>
      <c r="B20" s="138">
        <f>'Confronto p-s err'!B72</f>
        <v>69.243203048052308</v>
      </c>
      <c r="C20" s="138">
        <f>'Confronto p-s err'!C72</f>
        <v>70.453475648115656</v>
      </c>
      <c r="D20" s="138">
        <f>'Confronto p-s err'!D72</f>
        <v>74.58</v>
      </c>
      <c r="E20" s="320">
        <f>[15]pil!$P$8</f>
        <v>79.218999999999994</v>
      </c>
      <c r="F20" s="138">
        <f>'Confronto p-s err'!E72</f>
        <v>69.243203048052308</v>
      </c>
      <c r="G20" s="138">
        <f>'Confronto p-s err'!F72</f>
        <v>55.111194657823177</v>
      </c>
      <c r="H20" s="138">
        <f>'Confronto p-s err'!G72</f>
        <v>62.6</v>
      </c>
      <c r="I20" s="320">
        <f>[15]pil!$Q$8</f>
        <v>69.945999999999998</v>
      </c>
    </row>
    <row r="21" spans="1:9" x14ac:dyDescent="0.25">
      <c r="A21" s="328">
        <v>4</v>
      </c>
      <c r="B21" s="138">
        <f>'Confronto p-s err'!B73</f>
        <v>93.2513501341259</v>
      </c>
      <c r="C21" s="138">
        <f>'Confronto p-s err'!C73</f>
        <v>94.881250962195992</v>
      </c>
      <c r="D21" s="138">
        <f>'Confronto p-s err'!D73</f>
        <v>105.803</v>
      </c>
      <c r="E21" s="320">
        <f>[15]pil!$P$12</f>
        <v>110.143</v>
      </c>
      <c r="F21" s="138">
        <f>'Confronto p-s err'!E73</f>
        <v>93.2513501341259</v>
      </c>
      <c r="G21" s="138">
        <f>'Confronto p-s err'!F73</f>
        <v>74.219462461611158</v>
      </c>
      <c r="H21" s="138">
        <f>'Confronto p-s err'!G73</f>
        <v>89.177999999999997</v>
      </c>
      <c r="I21" s="320">
        <f>[15]pil!$Q$12</f>
        <v>99.049000000000007</v>
      </c>
    </row>
    <row r="22" spans="1:9" x14ac:dyDescent="0.25">
      <c r="A22" s="328">
        <v>3</v>
      </c>
      <c r="B22" s="138">
        <f>'Confronto p-s err'!B74</f>
        <v>111.48310092881336</v>
      </c>
      <c r="C22" s="138">
        <f>'Confronto p-s err'!C74</f>
        <v>114.299277385518</v>
      </c>
      <c r="D22" s="138">
        <f>'Confronto p-s err'!D74</f>
        <v>120.17400000000001</v>
      </c>
      <c r="E22" s="320">
        <f>[15]pil!$P$16</f>
        <v>124.54300000000001</v>
      </c>
      <c r="F22" s="138">
        <f>'Confronto p-s err'!E74</f>
        <v>111.48310092881336</v>
      </c>
      <c r="G22" s="138">
        <f>'Confronto p-s err'!F74</f>
        <v>91.202744736039918</v>
      </c>
      <c r="H22" s="138">
        <f>'Confronto p-s err'!G74</f>
        <v>105.871</v>
      </c>
      <c r="I22" s="320">
        <f>[15]pil!$Q$16</f>
        <v>118.404</v>
      </c>
    </row>
    <row r="23" spans="1:9" x14ac:dyDescent="0.25">
      <c r="A23" s="328">
        <v>2</v>
      </c>
      <c r="B23" s="138">
        <f>'Confronto p-s err'!B75</f>
        <v>123.93845543211468</v>
      </c>
      <c r="C23" s="138">
        <f>'Confronto p-s err'!C75</f>
        <v>127.06926680496241</v>
      </c>
      <c r="D23" s="138">
        <f>'Confronto p-s err'!D75</f>
        <v>132.74799999999999</v>
      </c>
      <c r="E23" s="320">
        <f>[15]pil!$P$20</f>
        <v>138.17599999999999</v>
      </c>
      <c r="F23" s="138">
        <f>'Confronto p-s err'!E75</f>
        <v>123.93845543211468</v>
      </c>
      <c r="G23" s="138">
        <f>'Confronto p-s err'!F75</f>
        <v>101.39229371608522</v>
      </c>
      <c r="H23" s="138">
        <f>'Confronto p-s err'!G75</f>
        <v>121.26</v>
      </c>
      <c r="I23" s="320">
        <f>[15]pil!$Q$20</f>
        <v>136.89699999999999</v>
      </c>
    </row>
    <row r="24" spans="1:9" x14ac:dyDescent="0.25">
      <c r="A24" s="328">
        <v>1</v>
      </c>
      <c r="B24" s="138">
        <f>'Confronto p-s err'!B76</f>
        <v>130.61741364402988</v>
      </c>
      <c r="C24" s="138">
        <f>'Confronto p-s err'!C76</f>
        <v>109.05191902468145</v>
      </c>
      <c r="D24" s="138">
        <f>'Confronto p-s err'!D76</f>
        <v>111.581</v>
      </c>
      <c r="E24" s="320">
        <f>[15]pil!$P$24</f>
        <v>116.508</v>
      </c>
      <c r="F24" s="138">
        <f>'Confronto p-s err'!E76</f>
        <v>130.61741364402988</v>
      </c>
      <c r="G24" s="138">
        <f>'Confronto p-s err'!F76</f>
        <v>109.95921835120426</v>
      </c>
      <c r="H24" s="138">
        <f>'Confronto p-s err'!G76</f>
        <v>121.935</v>
      </c>
      <c r="I24" s="320">
        <f>[15]pil!$Q$24</f>
        <v>138.727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66"/>
  <sheetViews>
    <sheetView tabSelected="1" topLeftCell="A35" zoomScale="70" zoomScaleNormal="70" workbookViewId="0">
      <selection activeCell="J38" sqref="J38"/>
    </sheetView>
  </sheetViews>
  <sheetFormatPr defaultRowHeight="15" x14ac:dyDescent="0.25"/>
  <cols>
    <col min="1" max="1" width="15.85546875" customWidth="1"/>
    <col min="2" max="2" width="12.5703125" customWidth="1"/>
    <col min="3" max="3" width="15" customWidth="1"/>
    <col min="4" max="4" width="15.5703125" customWidth="1"/>
    <col min="5" max="5" width="16.28515625" customWidth="1"/>
    <col min="6" max="6" width="14.42578125" customWidth="1"/>
    <col min="7" max="7" width="14" customWidth="1"/>
    <col min="8" max="8" width="14.5703125" customWidth="1"/>
    <col min="13" max="13" width="10.7109375" customWidth="1"/>
  </cols>
  <sheetData>
    <row r="1" spans="1:21" x14ac:dyDescent="0.25">
      <c r="A1" s="338"/>
      <c r="B1" s="338" t="s">
        <v>236</v>
      </c>
    </row>
    <row r="2" spans="1:21" x14ac:dyDescent="0.25">
      <c r="A2" s="338" t="s">
        <v>195</v>
      </c>
      <c r="B2" s="338">
        <v>39.6</v>
      </c>
    </row>
    <row r="3" spans="1:21" x14ac:dyDescent="0.25">
      <c r="A3" s="338" t="s">
        <v>196</v>
      </c>
      <c r="B3" s="338">
        <v>346.05</v>
      </c>
    </row>
    <row r="4" spans="1:21" x14ac:dyDescent="0.25">
      <c r="A4" s="338" t="s">
        <v>197</v>
      </c>
      <c r="B4" s="338">
        <v>312.8</v>
      </c>
    </row>
    <row r="5" spans="1:21" x14ac:dyDescent="0.25">
      <c r="A5" s="338" t="s">
        <v>198</v>
      </c>
      <c r="B5" s="338">
        <f>B4</f>
        <v>312.8</v>
      </c>
    </row>
    <row r="7" spans="1:21" x14ac:dyDescent="0.25">
      <c r="A7" s="354" t="s">
        <v>199</v>
      </c>
      <c r="B7" s="355"/>
      <c r="C7" s="355"/>
      <c r="D7" s="355"/>
      <c r="E7" s="355" t="s">
        <v>237</v>
      </c>
      <c r="F7" s="356">
        <f>B2+B3</f>
        <v>385.65000000000003</v>
      </c>
    </row>
    <row r="9" spans="1:21" x14ac:dyDescent="0.25">
      <c r="A9" s="341" t="s">
        <v>406</v>
      </c>
      <c r="B9" s="340" t="s">
        <v>79</v>
      </c>
      <c r="C9" s="340" t="s">
        <v>80</v>
      </c>
      <c r="D9" s="340" t="s">
        <v>81</v>
      </c>
      <c r="E9" s="340" t="s">
        <v>82</v>
      </c>
      <c r="G9" s="338" t="s">
        <v>406</v>
      </c>
      <c r="H9" s="338" t="s">
        <v>88</v>
      </c>
      <c r="I9" s="338" t="s">
        <v>89</v>
      </c>
      <c r="J9" s="338" t="s">
        <v>90</v>
      </c>
      <c r="K9" s="338" t="s">
        <v>91</v>
      </c>
      <c r="M9" s="338" t="s">
        <v>406</v>
      </c>
      <c r="N9" s="338" t="str">
        <f t="shared" ref="N9:O15" si="0">J9</f>
        <v>F</v>
      </c>
      <c r="O9" s="338" t="str">
        <f t="shared" si="0"/>
        <v>V</v>
      </c>
      <c r="P9" s="338" t="s">
        <v>407</v>
      </c>
      <c r="Q9" s="338" t="s">
        <v>97</v>
      </c>
      <c r="R9" s="338" t="s">
        <v>100</v>
      </c>
      <c r="S9" s="338" t="s">
        <v>101</v>
      </c>
      <c r="T9" s="338" t="s">
        <v>102</v>
      </c>
      <c r="U9" s="347"/>
    </row>
    <row r="10" spans="1:21" x14ac:dyDescent="0.25">
      <c r="A10" s="338" t="s">
        <v>200</v>
      </c>
      <c r="B10" s="337">
        <f>F7</f>
        <v>385.65000000000003</v>
      </c>
      <c r="C10" s="337">
        <v>9</v>
      </c>
      <c r="D10" s="339">
        <f>C10*B10</f>
        <v>3470.8500000000004</v>
      </c>
      <c r="E10" s="339">
        <f>D10/9.81</f>
        <v>353.8073394495413</v>
      </c>
      <c r="G10" s="338" t="s">
        <v>200</v>
      </c>
      <c r="H10" s="339">
        <f t="shared" ref="H10:H13" si="1">H11+$B$22</f>
        <v>19.7</v>
      </c>
      <c r="I10" s="337">
        <f>D10*H10</f>
        <v>68375.74500000001</v>
      </c>
      <c r="J10" s="339">
        <f>(I10/$I$16)*$B$23</f>
        <v>473.50391604711103</v>
      </c>
      <c r="K10" s="339">
        <f>J10</f>
        <v>473.50391604711103</v>
      </c>
      <c r="M10" s="338" t="s">
        <v>200</v>
      </c>
      <c r="N10" s="339">
        <f t="shared" si="0"/>
        <v>473.50391604711103</v>
      </c>
      <c r="O10" s="339">
        <f t="shared" si="0"/>
        <v>473.50391604711103</v>
      </c>
      <c r="P10" s="346">
        <f>$B$22</f>
        <v>3.2</v>
      </c>
      <c r="Q10" s="339">
        <f t="shared" ref="Q10:Q15" si="2">K10/12</f>
        <v>39.458659670592588</v>
      </c>
      <c r="R10" s="339">
        <f>0.4*Q10*P10</f>
        <v>50.507084378358513</v>
      </c>
      <c r="S10" s="339">
        <f>R10/2</f>
        <v>25.253542189179257</v>
      </c>
      <c r="T10" s="339">
        <f>2*(S10/B24)</f>
        <v>9.7129008419920222</v>
      </c>
      <c r="U10" s="347"/>
    </row>
    <row r="11" spans="1:21" x14ac:dyDescent="0.25">
      <c r="A11" s="338">
        <v>5</v>
      </c>
      <c r="B11" s="337">
        <f>$B$4</f>
        <v>312.8</v>
      </c>
      <c r="C11" s="337">
        <v>10</v>
      </c>
      <c r="D11" s="337">
        <f t="shared" ref="D11:D15" si="3">C11*B11</f>
        <v>3128</v>
      </c>
      <c r="E11" s="339">
        <f t="shared" ref="E11:E15" si="4">D11/9.81</f>
        <v>318.8583078491335</v>
      </c>
      <c r="G11" s="338">
        <v>5</v>
      </c>
      <c r="H11" s="339">
        <f t="shared" si="1"/>
        <v>16.5</v>
      </c>
      <c r="I11" s="337">
        <f t="shared" ref="I11:I15" si="5">D11*H11</f>
        <v>51612</v>
      </c>
      <c r="J11" s="339">
        <f t="shared" ref="J11:J15" si="6">(I11/$I$16)*$B$23</f>
        <v>357.41452052951661</v>
      </c>
      <c r="K11" s="339">
        <f>K10+J11</f>
        <v>830.91843657662764</v>
      </c>
      <c r="M11" s="338">
        <v>5</v>
      </c>
      <c r="N11" s="339">
        <f t="shared" si="0"/>
        <v>357.41452052951661</v>
      </c>
      <c r="O11" s="339">
        <f t="shared" si="0"/>
        <v>830.91843657662764</v>
      </c>
      <c r="P11" s="339">
        <f t="shared" ref="P11:P14" si="7">$B$22</f>
        <v>3.2</v>
      </c>
      <c r="Q11" s="339">
        <f t="shared" si="2"/>
        <v>69.243203048052308</v>
      </c>
      <c r="R11" s="339">
        <f>0.5*Q11*P11</f>
        <v>110.7891248768837</v>
      </c>
      <c r="S11" s="339">
        <f>(R10+R11)/2</f>
        <v>80.648104627621109</v>
      </c>
      <c r="T11" s="339">
        <f>((S10+S11)/$B$24)*2</f>
        <v>40.731402621846293</v>
      </c>
      <c r="U11" s="347"/>
    </row>
    <row r="12" spans="1:21" x14ac:dyDescent="0.25">
      <c r="A12" s="338">
        <v>4</v>
      </c>
      <c r="B12" s="337">
        <f t="shared" ref="B12:B14" si="8">$B$4</f>
        <v>312.8</v>
      </c>
      <c r="C12" s="337">
        <v>10</v>
      </c>
      <c r="D12" s="337">
        <f t="shared" si="3"/>
        <v>3128</v>
      </c>
      <c r="E12" s="339">
        <f t="shared" si="4"/>
        <v>318.8583078491335</v>
      </c>
      <c r="G12" s="338">
        <v>4</v>
      </c>
      <c r="H12" s="339">
        <f t="shared" si="1"/>
        <v>13.3</v>
      </c>
      <c r="I12" s="337">
        <f t="shared" si="5"/>
        <v>41602.400000000001</v>
      </c>
      <c r="J12" s="339">
        <f t="shared" si="6"/>
        <v>288.09776503288305</v>
      </c>
      <c r="K12" s="339">
        <f t="shared" ref="K12:K15" si="9">K11+J12</f>
        <v>1119.0162016095107</v>
      </c>
      <c r="M12" s="338">
        <v>4</v>
      </c>
      <c r="N12" s="339">
        <f t="shared" si="0"/>
        <v>288.09776503288305</v>
      </c>
      <c r="O12" s="339">
        <f t="shared" si="0"/>
        <v>1119.0162016095107</v>
      </c>
      <c r="P12" s="339">
        <f t="shared" si="7"/>
        <v>3.2</v>
      </c>
      <c r="Q12" s="339">
        <f t="shared" si="2"/>
        <v>93.2513501341259</v>
      </c>
      <c r="R12" s="339">
        <f>0.5*Q12*P12</f>
        <v>149.20216021460143</v>
      </c>
      <c r="S12" s="339">
        <f>(R11+R12)/2</f>
        <v>129.99564254574256</v>
      </c>
      <c r="T12" s="339">
        <f>((S11+S12)/$B$24)*2</f>
        <v>81.016825835909103</v>
      </c>
      <c r="U12" s="347"/>
    </row>
    <row r="13" spans="1:21" x14ac:dyDescent="0.25">
      <c r="A13" s="338">
        <v>3</v>
      </c>
      <c r="B13" s="337">
        <f t="shared" si="8"/>
        <v>312.8</v>
      </c>
      <c r="C13" s="337">
        <v>10</v>
      </c>
      <c r="D13" s="337">
        <f t="shared" si="3"/>
        <v>3128</v>
      </c>
      <c r="E13" s="339">
        <f t="shared" si="4"/>
        <v>318.8583078491335</v>
      </c>
      <c r="G13" s="338">
        <v>3</v>
      </c>
      <c r="H13" s="339">
        <f t="shared" si="1"/>
        <v>10.100000000000001</v>
      </c>
      <c r="I13" s="337">
        <f t="shared" si="5"/>
        <v>31592.800000000003</v>
      </c>
      <c r="J13" s="339">
        <f t="shared" si="6"/>
        <v>218.78100953624957</v>
      </c>
      <c r="K13" s="339">
        <f t="shared" si="9"/>
        <v>1337.7972111457602</v>
      </c>
      <c r="M13" s="338">
        <v>3</v>
      </c>
      <c r="N13" s="339">
        <f t="shared" si="0"/>
        <v>218.78100953624957</v>
      </c>
      <c r="O13" s="339">
        <f t="shared" si="0"/>
        <v>1337.7972111457602</v>
      </c>
      <c r="P13" s="339">
        <f t="shared" si="7"/>
        <v>3.2</v>
      </c>
      <c r="Q13" s="339">
        <f t="shared" si="2"/>
        <v>111.48310092881336</v>
      </c>
      <c r="R13" s="339">
        <f>0.5*Q13*P13</f>
        <v>178.37296148610139</v>
      </c>
      <c r="S13" s="339">
        <f>(R12+R13)/2</f>
        <v>163.78756085035141</v>
      </c>
      <c r="T13" s="339">
        <f>((S12+S13)/$B$24)*2</f>
        <v>112.99353976772845</v>
      </c>
      <c r="U13" s="347"/>
    </row>
    <row r="14" spans="1:21" x14ac:dyDescent="0.25">
      <c r="A14" s="338">
        <v>2</v>
      </c>
      <c r="B14" s="337">
        <f t="shared" si="8"/>
        <v>312.8</v>
      </c>
      <c r="C14" s="337">
        <v>10</v>
      </c>
      <c r="D14" s="337">
        <f t="shared" si="3"/>
        <v>3128</v>
      </c>
      <c r="E14" s="339">
        <f t="shared" si="4"/>
        <v>318.8583078491335</v>
      </c>
      <c r="G14" s="338">
        <v>2</v>
      </c>
      <c r="H14" s="339">
        <f>H15+$B$22</f>
        <v>6.9</v>
      </c>
      <c r="I14" s="337">
        <f t="shared" si="5"/>
        <v>21583.200000000001</v>
      </c>
      <c r="J14" s="339">
        <f t="shared" si="6"/>
        <v>149.46425403961604</v>
      </c>
      <c r="K14" s="339">
        <f t="shared" si="9"/>
        <v>1487.2614651853762</v>
      </c>
      <c r="M14" s="338">
        <v>2</v>
      </c>
      <c r="N14" s="339">
        <f t="shared" si="0"/>
        <v>149.46425403961604</v>
      </c>
      <c r="O14" s="339">
        <f t="shared" si="0"/>
        <v>1487.2614651853762</v>
      </c>
      <c r="P14" s="339">
        <f t="shared" si="7"/>
        <v>3.2</v>
      </c>
      <c r="Q14" s="339">
        <f t="shared" si="2"/>
        <v>123.93845543211468</v>
      </c>
      <c r="R14" s="339">
        <f>0.5*Q14*P14</f>
        <v>198.30152869138351</v>
      </c>
      <c r="S14" s="339">
        <f>(R13+R14)/2</f>
        <v>188.33724508874246</v>
      </c>
      <c r="T14" s="339">
        <f>((S13+S14)/$B$24)*2</f>
        <v>135.43261766888227</v>
      </c>
      <c r="U14" s="347"/>
    </row>
    <row r="15" spans="1:21" x14ac:dyDescent="0.25">
      <c r="A15" s="338">
        <v>1</v>
      </c>
      <c r="B15" s="337">
        <f>B5</f>
        <v>312.8</v>
      </c>
      <c r="C15" s="337">
        <v>10</v>
      </c>
      <c r="D15" s="337">
        <f t="shared" si="3"/>
        <v>3128</v>
      </c>
      <c r="E15" s="339">
        <f t="shared" si="4"/>
        <v>318.8583078491335</v>
      </c>
      <c r="G15" s="338">
        <v>1</v>
      </c>
      <c r="H15" s="337">
        <f>D22</f>
        <v>3.7</v>
      </c>
      <c r="I15" s="337">
        <f t="shared" si="5"/>
        <v>11573.6</v>
      </c>
      <c r="J15" s="339">
        <f t="shared" si="6"/>
        <v>80.147498542982504</v>
      </c>
      <c r="K15" s="339">
        <f t="shared" si="9"/>
        <v>1567.4089637283587</v>
      </c>
      <c r="M15" s="338" t="s">
        <v>201</v>
      </c>
      <c r="N15" s="339">
        <f t="shared" si="0"/>
        <v>80.147498542982504</v>
      </c>
      <c r="O15" s="339">
        <f t="shared" si="0"/>
        <v>1567.4089637283587</v>
      </c>
      <c r="P15" s="339">
        <f>$B$22+0.5</f>
        <v>3.7</v>
      </c>
      <c r="Q15" s="339">
        <f t="shared" si="2"/>
        <v>130.61741364402988</v>
      </c>
      <c r="R15" s="339">
        <f>Q15*P15*0.4</f>
        <v>193.31377219316425</v>
      </c>
      <c r="S15" s="339">
        <f>(R14+R15)/2</f>
        <v>195.80765044227388</v>
      </c>
      <c r="T15" s="339">
        <f>((S14+S15)/$B$24)*2</f>
        <v>147.74803674269859</v>
      </c>
      <c r="U15" s="347"/>
    </row>
    <row r="16" spans="1:21" x14ac:dyDescent="0.25">
      <c r="A16" s="338" t="s">
        <v>83</v>
      </c>
      <c r="B16" s="337"/>
      <c r="C16" s="337"/>
      <c r="D16" s="339">
        <f>SUM(D10:D15)</f>
        <v>19110.849999999999</v>
      </c>
      <c r="E16" s="339">
        <f>SUM(E10:E15)</f>
        <v>1948.0988786952089</v>
      </c>
      <c r="G16" s="338" t="s">
        <v>83</v>
      </c>
      <c r="H16" s="337"/>
      <c r="I16" s="337">
        <f>SUM(I10:I15)</f>
        <v>226339.74500000002</v>
      </c>
      <c r="J16" s="337"/>
      <c r="K16" s="337"/>
      <c r="M16" s="338" t="s">
        <v>99</v>
      </c>
      <c r="R16" s="339">
        <f>0.6*P15*Q15</f>
        <v>289.97065828974638</v>
      </c>
      <c r="U16" s="347"/>
    </row>
    <row r="17" spans="1:13" x14ac:dyDescent="0.25">
      <c r="A17" s="347"/>
      <c r="B17" s="347"/>
    </row>
    <row r="18" spans="1:13" x14ac:dyDescent="0.25">
      <c r="A18" s="345" t="s">
        <v>405</v>
      </c>
      <c r="B18" s="342"/>
    </row>
    <row r="19" spans="1:13" x14ac:dyDescent="0.25">
      <c r="A19" s="337" t="s">
        <v>84</v>
      </c>
      <c r="B19" s="337">
        <v>7.4999999999999997E-2</v>
      </c>
      <c r="C19" s="347"/>
      <c r="D19" s="347"/>
      <c r="G19" s="483" t="s">
        <v>107</v>
      </c>
      <c r="H19" s="484"/>
      <c r="I19" s="484"/>
      <c r="J19" s="484"/>
      <c r="K19" s="484"/>
      <c r="L19" s="484"/>
      <c r="M19" s="485"/>
    </row>
    <row r="20" spans="1:13" x14ac:dyDescent="0.25">
      <c r="A20" s="343" t="s">
        <v>86</v>
      </c>
      <c r="B20" s="337">
        <f>(3.2*5)+3.7</f>
        <v>19.7</v>
      </c>
      <c r="C20" s="348" t="s">
        <v>96</v>
      </c>
      <c r="D20" s="347"/>
      <c r="G20" s="486" t="s">
        <v>106</v>
      </c>
      <c r="H20" s="487"/>
      <c r="I20" s="487"/>
      <c r="J20" s="487"/>
      <c r="K20" s="487"/>
      <c r="L20" s="487"/>
      <c r="M20" s="488"/>
    </row>
    <row r="21" spans="1:13" x14ac:dyDescent="0.25">
      <c r="A21" s="337" t="s">
        <v>85</v>
      </c>
      <c r="B21" s="344">
        <f>B19*(B20^(3/4))</f>
        <v>0.7013114556897867</v>
      </c>
      <c r="C21" s="347"/>
      <c r="D21" s="347"/>
      <c r="G21" s="338" t="s">
        <v>78</v>
      </c>
      <c r="H21" s="351" t="s">
        <v>91</v>
      </c>
      <c r="I21" s="351" t="s">
        <v>97</v>
      </c>
      <c r="J21" s="351" t="s">
        <v>100</v>
      </c>
      <c r="K21" s="357" t="s">
        <v>101</v>
      </c>
    </row>
    <row r="22" spans="1:13" x14ac:dyDescent="0.25">
      <c r="A22" s="337" t="s">
        <v>284</v>
      </c>
      <c r="B22" s="346">
        <v>3.2</v>
      </c>
      <c r="C22" s="337" t="s">
        <v>285</v>
      </c>
      <c r="D22" s="337">
        <f>3.7</f>
        <v>3.7</v>
      </c>
      <c r="G22" s="338" t="s">
        <v>200</v>
      </c>
      <c r="H22" s="339">
        <f>K10</f>
        <v>473.50391604711103</v>
      </c>
      <c r="I22" s="339">
        <f t="shared" ref="I22:I27" si="10">1.2*Q10</f>
        <v>47.350391604711106</v>
      </c>
      <c r="J22" s="339">
        <f t="shared" ref="J22:K27" si="11">R10*1.2</f>
        <v>60.608501254030216</v>
      </c>
      <c r="K22" s="339">
        <f t="shared" si="11"/>
        <v>30.304250627015108</v>
      </c>
    </row>
    <row r="23" spans="1:13" x14ac:dyDescent="0.25">
      <c r="A23" s="337" t="s">
        <v>87</v>
      </c>
      <c r="B23" s="339">
        <f>0.85*D16*B28</f>
        <v>1567.4089637283589</v>
      </c>
      <c r="G23" s="338">
        <v>5</v>
      </c>
      <c r="H23" s="339">
        <f t="shared" ref="H23:H27" si="12">K11</f>
        <v>830.91843657662764</v>
      </c>
      <c r="I23" s="339">
        <f t="shared" si="10"/>
        <v>83.091843657662764</v>
      </c>
      <c r="J23" s="339">
        <f t="shared" si="11"/>
        <v>132.94694985226045</v>
      </c>
      <c r="K23" s="339">
        <f t="shared" si="11"/>
        <v>96.777725553145331</v>
      </c>
    </row>
    <row r="24" spans="1:13" x14ac:dyDescent="0.25">
      <c r="A24" s="358" t="s">
        <v>135</v>
      </c>
      <c r="B24" s="337">
        <v>5.2</v>
      </c>
      <c r="G24" s="338">
        <v>4</v>
      </c>
      <c r="H24" s="339">
        <f t="shared" si="12"/>
        <v>1119.0162016095107</v>
      </c>
      <c r="I24" s="339">
        <f t="shared" si="10"/>
        <v>111.90162016095108</v>
      </c>
      <c r="J24" s="339">
        <f t="shared" si="11"/>
        <v>179.0425922575217</v>
      </c>
      <c r="K24" s="339">
        <f t="shared" si="11"/>
        <v>155.99477105489106</v>
      </c>
    </row>
    <row r="25" spans="1:13" x14ac:dyDescent="0.25">
      <c r="A25" s="337" t="s">
        <v>92</v>
      </c>
      <c r="B25" s="337">
        <v>27</v>
      </c>
      <c r="C25" s="359"/>
      <c r="D25" s="359"/>
      <c r="E25" s="359"/>
      <c r="G25" s="338">
        <v>3</v>
      </c>
      <c r="H25" s="339">
        <f t="shared" si="12"/>
        <v>1337.7972111457602</v>
      </c>
      <c r="I25" s="339">
        <f t="shared" si="10"/>
        <v>133.77972111457603</v>
      </c>
      <c r="J25" s="339">
        <f t="shared" si="11"/>
        <v>214.04755378332166</v>
      </c>
      <c r="K25" s="339">
        <f t="shared" si="11"/>
        <v>196.54507302042168</v>
      </c>
    </row>
    <row r="26" spans="1:13" x14ac:dyDescent="0.25">
      <c r="A26" s="337" t="s">
        <v>93</v>
      </c>
      <c r="B26" s="337">
        <v>13</v>
      </c>
      <c r="C26" s="359"/>
      <c r="D26" s="359"/>
      <c r="E26" s="359"/>
      <c r="G26" s="338">
        <v>2</v>
      </c>
      <c r="H26" s="339">
        <f t="shared" si="12"/>
        <v>1487.2614651853762</v>
      </c>
      <c r="I26" s="339">
        <f t="shared" si="10"/>
        <v>148.7261465185376</v>
      </c>
      <c r="J26" s="339">
        <f t="shared" si="11"/>
        <v>237.9618344296602</v>
      </c>
      <c r="K26" s="339">
        <f t="shared" si="11"/>
        <v>226.00469410649094</v>
      </c>
    </row>
    <row r="27" spans="1:13" x14ac:dyDescent="0.25">
      <c r="A27" s="337" t="s">
        <v>94</v>
      </c>
      <c r="B27" s="337">
        <v>12</v>
      </c>
      <c r="C27" s="482" t="s">
        <v>95</v>
      </c>
      <c r="D27" s="482"/>
      <c r="E27" s="337">
        <v>12</v>
      </c>
      <c r="G27" s="338" t="s">
        <v>201</v>
      </c>
      <c r="H27" s="339">
        <f t="shared" si="12"/>
        <v>1567.4089637283587</v>
      </c>
      <c r="I27" s="339">
        <f t="shared" si="10"/>
        <v>156.74089637283586</v>
      </c>
      <c r="J27" s="339">
        <f t="shared" si="11"/>
        <v>231.9765266317971</v>
      </c>
      <c r="K27" s="339">
        <f t="shared" si="11"/>
        <v>234.96918053072864</v>
      </c>
    </row>
    <row r="28" spans="1:13" x14ac:dyDescent="0.25">
      <c r="A28" s="337" t="s">
        <v>136</v>
      </c>
      <c r="B28" s="344">
        <f>[1]Dati!$D$28</f>
        <v>9.6490242221710459E-2</v>
      </c>
      <c r="C28" s="348" t="s">
        <v>204</v>
      </c>
      <c r="D28" s="347"/>
      <c r="G28" s="338" t="s">
        <v>99</v>
      </c>
      <c r="H28" s="339"/>
      <c r="I28" s="339"/>
      <c r="J28" s="339">
        <f>R16*1.2</f>
        <v>347.96478994769564</v>
      </c>
      <c r="K28" s="339"/>
    </row>
    <row r="30" spans="1:13" x14ac:dyDescent="0.25">
      <c r="G30" s="483" t="s">
        <v>108</v>
      </c>
      <c r="H30" s="484"/>
      <c r="I30" s="484"/>
      <c r="J30" s="484"/>
      <c r="K30" s="484"/>
      <c r="L30" s="485"/>
    </row>
    <row r="31" spans="1:13" x14ac:dyDescent="0.25">
      <c r="G31" s="486" t="s">
        <v>122</v>
      </c>
      <c r="H31" s="487"/>
      <c r="I31" s="487"/>
      <c r="J31" s="487"/>
      <c r="K31" s="487"/>
      <c r="L31" s="488"/>
    </row>
    <row r="32" spans="1:13" x14ac:dyDescent="0.25">
      <c r="G32" s="338" t="s">
        <v>78</v>
      </c>
      <c r="H32" s="351" t="s">
        <v>91</v>
      </c>
      <c r="I32" s="351" t="s">
        <v>97</v>
      </c>
      <c r="J32" s="351" t="s">
        <v>100</v>
      </c>
      <c r="K32" s="357" t="s">
        <v>101</v>
      </c>
    </row>
    <row r="33" spans="1:11" x14ac:dyDescent="0.25">
      <c r="G33" s="338" t="s">
        <v>200</v>
      </c>
      <c r="H33" s="339">
        <f>H22</f>
        <v>473.50391604711103</v>
      </c>
      <c r="I33" s="339">
        <f>I22</f>
        <v>47.350391604711106</v>
      </c>
      <c r="J33" s="339">
        <f>$J$22*1.5</f>
        <v>90.912751881045324</v>
      </c>
      <c r="K33" s="339">
        <f>K22</f>
        <v>30.304250627015108</v>
      </c>
    </row>
    <row r="34" spans="1:11" x14ac:dyDescent="0.25">
      <c r="G34" s="338">
        <v>5</v>
      </c>
      <c r="H34" s="339">
        <f t="shared" ref="H34:I38" si="13">H23</f>
        <v>830.91843657662764</v>
      </c>
      <c r="I34" s="339">
        <f t="shared" si="13"/>
        <v>83.091843657662764</v>
      </c>
      <c r="J34" s="339">
        <f>$J$23*1.5</f>
        <v>199.42042477839067</v>
      </c>
      <c r="K34" s="339">
        <f t="shared" ref="K34:K38" si="14">K23</f>
        <v>96.777725553145331</v>
      </c>
    </row>
    <row r="35" spans="1:11" x14ac:dyDescent="0.25">
      <c r="G35" s="338">
        <v>4</v>
      </c>
      <c r="H35" s="339">
        <f t="shared" si="13"/>
        <v>1119.0162016095107</v>
      </c>
      <c r="I35" s="339">
        <f t="shared" si="13"/>
        <v>111.90162016095108</v>
      </c>
      <c r="J35" s="339">
        <f>$J$24*1.5</f>
        <v>268.56388838628254</v>
      </c>
      <c r="K35" s="339">
        <f t="shared" si="14"/>
        <v>155.99477105489106</v>
      </c>
    </row>
    <row r="36" spans="1:11" x14ac:dyDescent="0.25">
      <c r="G36" s="338">
        <v>3</v>
      </c>
      <c r="H36" s="339">
        <f t="shared" si="13"/>
        <v>1337.7972111457602</v>
      </c>
      <c r="I36" s="339">
        <f t="shared" si="13"/>
        <v>133.77972111457603</v>
      </c>
      <c r="J36" s="339">
        <f>$J$25*1.5</f>
        <v>321.07133067498251</v>
      </c>
      <c r="K36" s="339">
        <f t="shared" si="14"/>
        <v>196.54507302042168</v>
      </c>
    </row>
    <row r="37" spans="1:11" x14ac:dyDescent="0.25">
      <c r="G37" s="338">
        <v>2</v>
      </c>
      <c r="H37" s="339">
        <f t="shared" si="13"/>
        <v>1487.2614651853762</v>
      </c>
      <c r="I37" s="339">
        <f t="shared" si="13"/>
        <v>148.7261465185376</v>
      </c>
      <c r="J37" s="339">
        <f>$J$26*1.5</f>
        <v>356.94275164449027</v>
      </c>
      <c r="K37" s="339">
        <f t="shared" si="14"/>
        <v>226.00469410649094</v>
      </c>
    </row>
    <row r="38" spans="1:11" x14ac:dyDescent="0.25">
      <c r="G38" s="338" t="s">
        <v>201</v>
      </c>
      <c r="H38" s="339">
        <f t="shared" si="13"/>
        <v>1567.4089637283587</v>
      </c>
      <c r="I38" s="339">
        <f t="shared" si="13"/>
        <v>156.74089637283586</v>
      </c>
      <c r="J38" s="339">
        <f>$J$27*1.5</f>
        <v>347.96478994769564</v>
      </c>
      <c r="K38" s="339">
        <f t="shared" si="14"/>
        <v>234.96918053072864</v>
      </c>
    </row>
    <row r="39" spans="1:11" x14ac:dyDescent="0.25">
      <c r="G39" s="338" t="s">
        <v>99</v>
      </c>
      <c r="H39" s="337"/>
      <c r="I39" s="337"/>
      <c r="J39" s="339">
        <f>$J$28</f>
        <v>347.96478994769564</v>
      </c>
      <c r="K39" s="337"/>
    </row>
    <row r="40" spans="1:11" x14ac:dyDescent="0.25">
      <c r="A40" s="360"/>
      <c r="B40" s="360"/>
      <c r="C40" s="360"/>
      <c r="D40" s="360"/>
      <c r="E40" s="360"/>
      <c r="G40" s="360"/>
      <c r="H40" s="360"/>
      <c r="I40" s="360"/>
      <c r="J40" s="360"/>
      <c r="K40" s="360"/>
    </row>
    <row r="41" spans="1:11" x14ac:dyDescent="0.25">
      <c r="A41" s="489" t="s">
        <v>109</v>
      </c>
      <c r="B41" s="429"/>
      <c r="C41" s="490"/>
    </row>
    <row r="42" spans="1:11" x14ac:dyDescent="0.25">
      <c r="A42" s="19" t="s">
        <v>110</v>
      </c>
      <c r="B42" s="20"/>
      <c r="C42" s="20"/>
      <c r="D42" s="20"/>
      <c r="E42" s="20"/>
      <c r="F42" s="20"/>
      <c r="G42" s="21"/>
    </row>
    <row r="43" spans="1:11" x14ac:dyDescent="0.25">
      <c r="A43" s="22" t="s">
        <v>113</v>
      </c>
      <c r="B43" s="18">
        <f>'analisi dei carichi'!G57</f>
        <v>86.7913014592</v>
      </c>
      <c r="C43" s="12"/>
      <c r="D43" s="13"/>
      <c r="E43" s="13"/>
      <c r="F43" s="13"/>
      <c r="G43" s="23"/>
    </row>
    <row r="44" spans="1:11" x14ac:dyDescent="0.25">
      <c r="A44" s="24" t="s">
        <v>111</v>
      </c>
      <c r="B44" s="13"/>
      <c r="C44" s="13" t="s">
        <v>123</v>
      </c>
      <c r="D44" s="13"/>
      <c r="E44" s="13"/>
      <c r="F44" s="13"/>
      <c r="G44" s="23"/>
    </row>
    <row r="45" spans="1:11" x14ac:dyDescent="0.25">
      <c r="A45" s="22" t="s">
        <v>113</v>
      </c>
      <c r="B45" s="18">
        <f>K38</f>
        <v>234.96918053072864</v>
      </c>
      <c r="C45" s="13"/>
      <c r="D45" s="13"/>
      <c r="E45" s="13"/>
      <c r="F45" s="13"/>
      <c r="G45" s="23"/>
    </row>
    <row r="46" spans="1:11" x14ac:dyDescent="0.25">
      <c r="A46" s="24" t="s">
        <v>112</v>
      </c>
      <c r="B46" s="13"/>
      <c r="C46" s="13"/>
      <c r="D46" s="13"/>
      <c r="E46" s="13"/>
      <c r="F46" s="13"/>
      <c r="G46" s="23"/>
    </row>
    <row r="47" spans="1:11" x14ac:dyDescent="0.25">
      <c r="A47" s="22" t="s">
        <v>114</v>
      </c>
      <c r="B47" s="18">
        <f>B43+B45</f>
        <v>321.76048198992862</v>
      </c>
      <c r="C47" s="13"/>
      <c r="D47" s="13"/>
      <c r="E47" s="13"/>
      <c r="F47" s="13"/>
      <c r="G47" s="23"/>
    </row>
    <row r="48" spans="1:11" x14ac:dyDescent="0.25">
      <c r="A48" s="24" t="s">
        <v>115</v>
      </c>
      <c r="B48" s="12">
        <v>25</v>
      </c>
      <c r="C48" s="13" t="s">
        <v>116</v>
      </c>
      <c r="D48" s="13"/>
      <c r="E48" s="13"/>
      <c r="F48" s="13"/>
      <c r="G48" s="23"/>
    </row>
    <row r="49" spans="1:8" x14ac:dyDescent="0.25">
      <c r="A49" s="22" t="s">
        <v>117</v>
      </c>
      <c r="B49" s="12">
        <f>'analisi dei carichi'!P12</f>
        <v>0.3</v>
      </c>
      <c r="C49" s="13" t="s">
        <v>121</v>
      </c>
      <c r="D49" s="13"/>
      <c r="E49" s="13"/>
      <c r="F49" s="13"/>
      <c r="G49" s="23"/>
    </row>
    <row r="50" spans="1:8" x14ac:dyDescent="0.25">
      <c r="A50" s="22" t="s">
        <v>118</v>
      </c>
      <c r="B50" s="12">
        <v>0.04</v>
      </c>
      <c r="C50" s="13" t="s">
        <v>121</v>
      </c>
      <c r="D50" s="13"/>
      <c r="E50" s="13"/>
      <c r="F50" s="13"/>
      <c r="G50" s="23"/>
    </row>
    <row r="51" spans="1:8" x14ac:dyDescent="0.25">
      <c r="A51" s="22" t="s">
        <v>120</v>
      </c>
      <c r="B51" s="12">
        <v>1.7999999999999999E-2</v>
      </c>
      <c r="C51" s="13"/>
      <c r="D51" s="119"/>
      <c r="E51" s="13"/>
      <c r="F51" s="13"/>
      <c r="G51" s="23"/>
    </row>
    <row r="52" spans="1:8" x14ac:dyDescent="0.25">
      <c r="A52" s="22" t="s">
        <v>119</v>
      </c>
      <c r="B52" s="25">
        <f>B51*SQRT(B47/B49)</f>
        <v>0.58949242620166276</v>
      </c>
      <c r="C52" s="155" t="s">
        <v>404</v>
      </c>
      <c r="D52" s="155"/>
      <c r="E52" s="155"/>
      <c r="F52" s="26" t="s">
        <v>252</v>
      </c>
      <c r="G52" s="23"/>
    </row>
    <row r="53" spans="1:8" x14ac:dyDescent="0.25">
      <c r="A53" s="27" t="s">
        <v>277</v>
      </c>
      <c r="B53" s="28"/>
      <c r="C53" s="28"/>
      <c r="D53" s="28"/>
      <c r="E53" s="28"/>
      <c r="F53" s="28"/>
      <c r="G53" s="29"/>
    </row>
    <row r="55" spans="1:8" x14ac:dyDescent="0.25">
      <c r="B55" s="479" t="s">
        <v>124</v>
      </c>
      <c r="C55" s="480"/>
      <c r="D55" s="481"/>
      <c r="E55" s="350" t="s">
        <v>179</v>
      </c>
      <c r="F55" s="350"/>
      <c r="G55" s="338" t="s">
        <v>178</v>
      </c>
      <c r="H55" s="338" t="s">
        <v>173</v>
      </c>
    </row>
    <row r="56" spans="1:8" x14ac:dyDescent="0.25">
      <c r="B56" s="338" t="s">
        <v>78</v>
      </c>
      <c r="C56" s="351" t="s">
        <v>100</v>
      </c>
      <c r="D56" s="338" t="s">
        <v>102</v>
      </c>
      <c r="E56" s="352" t="str">
        <f>'analisi dei carichi'!D88</f>
        <v>pilastro 22</v>
      </c>
      <c r="F56" s="352" t="str">
        <f>'analisi dei carichi'!E88</f>
        <v>pilastro 4</v>
      </c>
      <c r="G56" s="338" t="s">
        <v>202</v>
      </c>
      <c r="H56" s="338" t="s">
        <v>203</v>
      </c>
    </row>
    <row r="57" spans="1:8" x14ac:dyDescent="0.25">
      <c r="B57" s="268" t="s">
        <v>200</v>
      </c>
      <c r="C57" s="349">
        <f>$J$22*1.5</f>
        <v>90.912751881045324</v>
      </c>
      <c r="D57" s="349">
        <f>T10</f>
        <v>9.7129008419920222</v>
      </c>
      <c r="E57" s="346">
        <f>'analisi dei carichi'!D89</f>
        <v>227.17564186636801</v>
      </c>
      <c r="F57" s="346">
        <f>'analisi dei carichi'!E89</f>
        <v>47.623890623999998</v>
      </c>
      <c r="G57" s="339">
        <f>E57+D57</f>
        <v>236.88854270836003</v>
      </c>
      <c r="H57" s="349">
        <f>F57-D57</f>
        <v>37.910989782007974</v>
      </c>
    </row>
    <row r="58" spans="1:8" x14ac:dyDescent="0.25">
      <c r="B58" s="268">
        <v>5</v>
      </c>
      <c r="C58" s="349">
        <f>$J$23*1.5</f>
        <v>199.42042477839067</v>
      </c>
      <c r="D58" s="349">
        <f>T11</f>
        <v>40.731402621846293</v>
      </c>
      <c r="E58" s="346">
        <f>'analisi dei carichi'!D90</f>
        <v>454.35128373273602</v>
      </c>
      <c r="F58" s="346">
        <f>'analisi dei carichi'!E90</f>
        <v>95.247781247999995</v>
      </c>
      <c r="G58" s="339">
        <f t="shared" ref="G58:G62" si="15">E58+D58</f>
        <v>495.08268635458234</v>
      </c>
      <c r="H58" s="349">
        <f t="shared" ref="H58:H62" si="16">F58-D58</f>
        <v>54.516378626153703</v>
      </c>
    </row>
    <row r="59" spans="1:8" x14ac:dyDescent="0.25">
      <c r="B59" s="268">
        <v>4</v>
      </c>
      <c r="C59" s="349">
        <f>$J$24*1.5</f>
        <v>268.56388838628254</v>
      </c>
      <c r="D59" s="349">
        <f>T12</f>
        <v>81.016825835909103</v>
      </c>
      <c r="E59" s="346">
        <f>'analisi dei carichi'!D91</f>
        <v>681.52692559910406</v>
      </c>
      <c r="F59" s="346">
        <f>'analisi dei carichi'!E91</f>
        <v>142.87167187199998</v>
      </c>
      <c r="G59" s="339">
        <f t="shared" si="15"/>
        <v>762.54375143501318</v>
      </c>
      <c r="H59" s="349">
        <f t="shared" si="16"/>
        <v>61.854846036090876</v>
      </c>
    </row>
    <row r="60" spans="1:8" x14ac:dyDescent="0.25">
      <c r="B60" s="268">
        <v>3</v>
      </c>
      <c r="C60" s="349">
        <f>$J$25*1.5</f>
        <v>321.07133067498251</v>
      </c>
      <c r="D60" s="349">
        <f>T13</f>
        <v>112.99353976772845</v>
      </c>
      <c r="E60" s="346">
        <f>'analisi dei carichi'!D92</f>
        <v>908.70256746547204</v>
      </c>
      <c r="F60" s="346">
        <f>'analisi dei carichi'!E92</f>
        <v>190.49556249599999</v>
      </c>
      <c r="G60" s="339">
        <f t="shared" si="15"/>
        <v>1021.6961072332005</v>
      </c>
      <c r="H60" s="349">
        <f t="shared" si="16"/>
        <v>77.502022728271541</v>
      </c>
    </row>
    <row r="61" spans="1:8" x14ac:dyDescent="0.25">
      <c r="B61" s="268">
        <v>2</v>
      </c>
      <c r="C61" s="88">
        <f>$J$26*1.5</f>
        <v>356.94275164449027</v>
      </c>
      <c r="D61" s="349">
        <f>T14</f>
        <v>135.43261766888227</v>
      </c>
      <c r="E61" s="346">
        <f>'analisi dei carichi'!D93</f>
        <v>1135.87820933184</v>
      </c>
      <c r="F61" s="346">
        <f>'analisi dei carichi'!E93</f>
        <v>238.11945312</v>
      </c>
      <c r="G61" s="339">
        <f t="shared" si="15"/>
        <v>1271.3108270007224</v>
      </c>
      <c r="H61" s="88">
        <f t="shared" si="16"/>
        <v>102.68683545111773</v>
      </c>
    </row>
    <row r="62" spans="1:8" x14ac:dyDescent="0.25">
      <c r="B62" s="268">
        <v>1</v>
      </c>
      <c r="C62" s="89">
        <f>$J$27*1.5</f>
        <v>347.96478994769564</v>
      </c>
      <c r="D62" s="349">
        <f>T15</f>
        <v>147.74803674269859</v>
      </c>
      <c r="E62" s="346">
        <f>'analisi dei carichi'!D94</f>
        <v>1363.0538511982081</v>
      </c>
      <c r="F62" s="346">
        <f>'analisi dei carichi'!E94</f>
        <v>285.74334374399996</v>
      </c>
      <c r="G62" s="90">
        <f t="shared" si="15"/>
        <v>1510.8018879409067</v>
      </c>
      <c r="H62" s="349">
        <f t="shared" si="16"/>
        <v>137.99530700130137</v>
      </c>
    </row>
    <row r="63" spans="1:8" x14ac:dyDescent="0.25">
      <c r="C63" s="349">
        <f>$J$28</f>
        <v>347.96478994769564</v>
      </c>
    </row>
    <row r="65" spans="4:4" x14ac:dyDescent="0.25">
      <c r="D65" s="14"/>
    </row>
    <row r="66" spans="4:4" x14ac:dyDescent="0.25">
      <c r="D66" s="353" t="s">
        <v>180</v>
      </c>
    </row>
  </sheetData>
  <mergeCells count="7">
    <mergeCell ref="B55:D55"/>
    <mergeCell ref="C27:D27"/>
    <mergeCell ref="G19:M19"/>
    <mergeCell ref="G20:M20"/>
    <mergeCell ref="G30:L30"/>
    <mergeCell ref="G31:L31"/>
    <mergeCell ref="A41:C41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60"/>
  <sheetViews>
    <sheetView zoomScale="70" zoomScaleNormal="70" workbookViewId="0">
      <selection activeCell="J36" sqref="J36"/>
    </sheetView>
  </sheetViews>
  <sheetFormatPr defaultRowHeight="12.75" x14ac:dyDescent="0.2"/>
  <cols>
    <col min="1" max="1" width="19.5703125" style="363" customWidth="1"/>
    <col min="2" max="2" width="19.7109375" style="363" customWidth="1"/>
    <col min="3" max="3" width="23" style="363" customWidth="1"/>
    <col min="4" max="4" width="9.140625" style="363"/>
    <col min="5" max="5" width="17.140625" style="363" customWidth="1"/>
    <col min="6" max="6" width="18.28515625" style="363" customWidth="1"/>
    <col min="7" max="7" width="19.140625" style="363" customWidth="1"/>
    <col min="8" max="8" width="9.140625" style="363"/>
    <col min="9" max="9" width="10.5703125" style="363" customWidth="1"/>
    <col min="10" max="10" width="18.28515625" style="363" customWidth="1"/>
    <col min="11" max="11" width="17.42578125" style="363" customWidth="1"/>
    <col min="12" max="12" width="14.85546875" style="363" customWidth="1"/>
    <col min="13" max="15" width="9.140625" style="363"/>
    <col min="16" max="16" width="20.85546875" style="363" customWidth="1"/>
    <col min="17" max="17" width="19.5703125" style="363" customWidth="1"/>
    <col min="18" max="18" width="14.7109375" style="363" customWidth="1"/>
    <col min="19" max="16384" width="9.140625" style="363"/>
  </cols>
  <sheetData>
    <row r="1" spans="1:18" x14ac:dyDescent="0.2">
      <c r="A1" s="361" t="s">
        <v>242</v>
      </c>
      <c r="B1" s="362"/>
      <c r="D1" s="495" t="s">
        <v>211</v>
      </c>
      <c r="E1" s="495"/>
      <c r="F1" s="495"/>
      <c r="G1" s="495"/>
      <c r="I1" s="496" t="s">
        <v>213</v>
      </c>
      <c r="J1" s="496"/>
      <c r="K1" s="496"/>
      <c r="L1" s="496"/>
      <c r="O1" s="493" t="s">
        <v>240</v>
      </c>
      <c r="P1" s="493"/>
      <c r="Q1" s="493"/>
      <c r="R1" s="493"/>
    </row>
    <row r="2" spans="1:18" x14ac:dyDescent="0.2">
      <c r="A2" s="364" t="s">
        <v>243</v>
      </c>
      <c r="B2" s="365"/>
      <c r="D2" s="366" t="s">
        <v>207</v>
      </c>
      <c r="E2" s="366" t="s">
        <v>208</v>
      </c>
      <c r="F2" s="366" t="s">
        <v>209</v>
      </c>
      <c r="G2" s="366" t="s">
        <v>210</v>
      </c>
      <c r="I2" s="367" t="s">
        <v>207</v>
      </c>
      <c r="J2" s="367" t="s">
        <v>208</v>
      </c>
      <c r="K2" s="367" t="s">
        <v>209</v>
      </c>
      <c r="L2" s="367" t="s">
        <v>210</v>
      </c>
      <c r="O2" s="368" t="s">
        <v>207</v>
      </c>
      <c r="P2" s="368" t="s">
        <v>208</v>
      </c>
      <c r="Q2" s="368" t="s">
        <v>209</v>
      </c>
      <c r="R2" s="368" t="s">
        <v>210</v>
      </c>
    </row>
    <row r="3" spans="1:18" x14ac:dyDescent="0.2">
      <c r="A3" s="364" t="s">
        <v>244</v>
      </c>
      <c r="B3" s="365"/>
      <c r="D3" s="366" t="s">
        <v>278</v>
      </c>
      <c r="E3" s="369">
        <v>2</v>
      </c>
      <c r="F3" s="369">
        <v>11</v>
      </c>
      <c r="G3" s="369" t="s">
        <v>55</v>
      </c>
      <c r="I3" s="367" t="s">
        <v>278</v>
      </c>
      <c r="J3" s="370">
        <v>2</v>
      </c>
      <c r="K3" s="370">
        <v>11</v>
      </c>
      <c r="L3" s="370" t="s">
        <v>55</v>
      </c>
      <c r="O3" s="368" t="s">
        <v>278</v>
      </c>
      <c r="P3" s="371">
        <v>2</v>
      </c>
      <c r="Q3" s="371">
        <v>11</v>
      </c>
      <c r="R3" s="371" t="s">
        <v>55</v>
      </c>
    </row>
    <row r="4" spans="1:18" x14ac:dyDescent="0.2">
      <c r="A4" s="364" t="s">
        <v>245</v>
      </c>
      <c r="B4" s="365"/>
      <c r="D4" s="366" t="s">
        <v>279</v>
      </c>
      <c r="E4" s="369" t="s">
        <v>55</v>
      </c>
      <c r="F4" s="369">
        <v>3</v>
      </c>
      <c r="G4" s="369">
        <v>9</v>
      </c>
      <c r="I4" s="367" t="s">
        <v>279</v>
      </c>
      <c r="J4" s="370" t="s">
        <v>55</v>
      </c>
      <c r="K4" s="370">
        <v>3</v>
      </c>
      <c r="L4" s="370">
        <v>9</v>
      </c>
      <c r="O4" s="368" t="s">
        <v>279</v>
      </c>
      <c r="P4" s="371" t="s">
        <v>55</v>
      </c>
      <c r="Q4" s="371">
        <v>3</v>
      </c>
      <c r="R4" s="371">
        <v>9</v>
      </c>
    </row>
    <row r="5" spans="1:18" x14ac:dyDescent="0.2">
      <c r="A5" s="372" t="s">
        <v>246</v>
      </c>
      <c r="B5" s="373"/>
      <c r="D5" s="366" t="s">
        <v>280</v>
      </c>
      <c r="E5" s="374">
        <f>'[2]x p.tipo30x70 2 tr emerg'!$L$5</f>
        <v>32.124220207247788</v>
      </c>
      <c r="F5" s="374">
        <f>'[2]x p.tipo30x70 1 tr emer'!$L$5</f>
        <v>19.175840563420966</v>
      </c>
      <c r="G5" s="369" t="s">
        <v>55</v>
      </c>
      <c r="I5" s="367" t="s">
        <v>280</v>
      </c>
      <c r="J5" s="375">
        <f>'[3]x p.terra30x70 2 tr emerg'!$L$5</f>
        <v>37.824529120484691</v>
      </c>
      <c r="K5" s="375">
        <f>'[3]x p.terra30x70 1 tr emer'!$L$5</f>
        <v>30.123174952428801</v>
      </c>
      <c r="L5" s="370" t="s">
        <v>55</v>
      </c>
      <c r="O5" s="376" t="s">
        <v>239</v>
      </c>
      <c r="P5" s="376"/>
      <c r="Q5" s="377"/>
      <c r="R5" s="378"/>
    </row>
    <row r="6" spans="1:18" x14ac:dyDescent="0.2">
      <c r="A6" s="364" t="s">
        <v>247</v>
      </c>
      <c r="B6" s="378"/>
      <c r="D6" s="366" t="s">
        <v>281</v>
      </c>
      <c r="E6" s="369" t="s">
        <v>55</v>
      </c>
      <c r="F6" s="374">
        <f>'[2]x p.tipo 70x30 1 tr emerg'!$L$5</f>
        <v>10.300838347113535</v>
      </c>
      <c r="G6" s="379">
        <f>'[2] x p.tipo 70x30 2 spess'!$L$5</f>
        <v>3.5852091840472422</v>
      </c>
      <c r="H6" s="380" t="s">
        <v>228</v>
      </c>
      <c r="I6" s="381" t="s">
        <v>281</v>
      </c>
      <c r="J6" s="370" t="s">
        <v>55</v>
      </c>
      <c r="K6" s="375">
        <f>'[3]x p.tipo 70x30 1 tr emerg'!$L$5</f>
        <v>9.0583298961183534</v>
      </c>
      <c r="L6" s="382">
        <f>'[3] x p.tipo 70x30 2 spess'!$L$5</f>
        <v>5.5734360701465597</v>
      </c>
      <c r="M6" s="383" t="s">
        <v>228</v>
      </c>
      <c r="O6" s="493" t="s">
        <v>241</v>
      </c>
      <c r="P6" s="493"/>
      <c r="Q6" s="493"/>
      <c r="R6" s="493"/>
    </row>
    <row r="7" spans="1:18" x14ac:dyDescent="0.2">
      <c r="A7" s="364" t="s">
        <v>248</v>
      </c>
      <c r="B7" s="378"/>
      <c r="D7" s="384"/>
      <c r="E7" s="384"/>
      <c r="G7" s="379">
        <f>'[2]x p.tipo 70x30 1 spess'!$L$5</f>
        <v>1.9888322574175896</v>
      </c>
      <c r="H7" s="380" t="s">
        <v>229</v>
      </c>
      <c r="L7" s="382">
        <f>'[3]x p.tipo 70x30 1 spess'!$L$5</f>
        <v>4.4874313177713931</v>
      </c>
      <c r="M7" s="383" t="s">
        <v>229</v>
      </c>
      <c r="O7" s="368" t="s">
        <v>207</v>
      </c>
      <c r="P7" s="368" t="s">
        <v>208</v>
      </c>
      <c r="Q7" s="368" t="s">
        <v>209</v>
      </c>
      <c r="R7" s="368" t="s">
        <v>210</v>
      </c>
    </row>
    <row r="8" spans="1:18" x14ac:dyDescent="0.2">
      <c r="A8" s="364" t="s">
        <v>249</v>
      </c>
      <c r="B8" s="378"/>
      <c r="D8" s="495" t="s">
        <v>212</v>
      </c>
      <c r="E8" s="495"/>
      <c r="F8" s="495"/>
      <c r="G8" s="495"/>
      <c r="I8" s="496" t="s">
        <v>214</v>
      </c>
      <c r="J8" s="496"/>
      <c r="K8" s="496"/>
      <c r="L8" s="496"/>
      <c r="O8" s="368" t="s">
        <v>278</v>
      </c>
      <c r="P8" s="371">
        <v>9</v>
      </c>
      <c r="Q8" s="371">
        <v>3</v>
      </c>
      <c r="R8" s="371" t="s">
        <v>55</v>
      </c>
    </row>
    <row r="9" spans="1:18" x14ac:dyDescent="0.2">
      <c r="A9" s="364" t="s">
        <v>250</v>
      </c>
      <c r="B9" s="378"/>
      <c r="D9" s="385" t="s">
        <v>207</v>
      </c>
      <c r="E9" s="385" t="s">
        <v>208</v>
      </c>
      <c r="F9" s="385" t="s">
        <v>209</v>
      </c>
      <c r="G9" s="385" t="s">
        <v>210</v>
      </c>
      <c r="I9" s="367" t="s">
        <v>207</v>
      </c>
      <c r="J9" s="367" t="s">
        <v>208</v>
      </c>
      <c r="K9" s="367" t="s">
        <v>209</v>
      </c>
      <c r="L9" s="367" t="s">
        <v>210</v>
      </c>
      <c r="O9" s="368" t="s">
        <v>279</v>
      </c>
      <c r="P9" s="371">
        <v>1</v>
      </c>
      <c r="Q9" s="371">
        <v>11</v>
      </c>
      <c r="R9" s="371">
        <v>1</v>
      </c>
    </row>
    <row r="10" spans="1:18" x14ac:dyDescent="0.2">
      <c r="A10" s="372" t="s">
        <v>251</v>
      </c>
      <c r="B10" s="386"/>
      <c r="D10" s="385" t="s">
        <v>278</v>
      </c>
      <c r="E10" s="369">
        <v>9</v>
      </c>
      <c r="F10" s="369">
        <v>3</v>
      </c>
      <c r="G10" s="369" t="s">
        <v>55</v>
      </c>
      <c r="I10" s="367" t="s">
        <v>278</v>
      </c>
      <c r="J10" s="370">
        <v>9</v>
      </c>
      <c r="K10" s="370">
        <v>3</v>
      </c>
      <c r="L10" s="370" t="s">
        <v>55</v>
      </c>
    </row>
    <row r="11" spans="1:18" x14ac:dyDescent="0.2">
      <c r="D11" s="385" t="s">
        <v>279</v>
      </c>
      <c r="E11" s="369">
        <v>1</v>
      </c>
      <c r="F11" s="369">
        <v>11</v>
      </c>
      <c r="G11" s="369">
        <v>1</v>
      </c>
      <c r="I11" s="367" t="s">
        <v>279</v>
      </c>
      <c r="J11" s="370">
        <v>1</v>
      </c>
      <c r="K11" s="370">
        <v>11</v>
      </c>
      <c r="L11" s="370">
        <v>1</v>
      </c>
    </row>
    <row r="12" spans="1:18" x14ac:dyDescent="0.2">
      <c r="D12" s="385" t="s">
        <v>280</v>
      </c>
      <c r="E12" s="379">
        <f>'[4]y 30x80 2 tr emerg'!$L$5</f>
        <v>30.832326920475296</v>
      </c>
      <c r="F12" s="379">
        <f>'[4]y 30x80 1 tr emerg'!$L$5</f>
        <v>18.262300425358582</v>
      </c>
      <c r="G12" s="369" t="s">
        <v>55</v>
      </c>
      <c r="I12" s="367" t="s">
        <v>280</v>
      </c>
      <c r="J12" s="382">
        <f>'[3]y 30x70 2 tr emerg'!$L$5</f>
        <v>37.110254290115428</v>
      </c>
      <c r="K12" s="382">
        <f>'[3]y 30x70 1 tr emerg'!$L$5</f>
        <v>29.530584436482165</v>
      </c>
      <c r="L12" s="370" t="s">
        <v>55</v>
      </c>
    </row>
    <row r="13" spans="1:18" x14ac:dyDescent="0.2">
      <c r="D13" s="385" t="s">
        <v>281</v>
      </c>
      <c r="E13" s="374">
        <f>'[4]y 80x30 2 tr emerg'!$L$5</f>
        <v>12.925906090782766</v>
      </c>
      <c r="F13" s="374">
        <f>'[4]y 80x30 1 tr emerg'!$L$5</f>
        <v>10.031283698777857</v>
      </c>
      <c r="G13" s="379">
        <f>'[4]y 80x30 1 tr spess'!$L$5</f>
        <v>2.8068958138180466</v>
      </c>
      <c r="I13" s="367" t="s">
        <v>281</v>
      </c>
      <c r="J13" s="375">
        <f>'[3]y 70x30 2 tr emerg'!$L$5</f>
        <v>10.08272882530783</v>
      </c>
      <c r="K13" s="375">
        <f>'[3]y 70x30 1 tr emerg'!$L$5</f>
        <v>8.9443829065549689</v>
      </c>
      <c r="L13" s="382">
        <f>'[3]y 70x30 1 tr spess'!$L$5</f>
        <v>5.0596785086392035</v>
      </c>
    </row>
    <row r="14" spans="1:18" x14ac:dyDescent="0.2">
      <c r="A14" s="376" t="s">
        <v>238</v>
      </c>
      <c r="B14" s="376"/>
    </row>
    <row r="15" spans="1:18" x14ac:dyDescent="0.2">
      <c r="A15" s="371" t="s">
        <v>220</v>
      </c>
      <c r="B15" s="371">
        <v>5</v>
      </c>
      <c r="I15" s="494" t="s">
        <v>215</v>
      </c>
      <c r="J15" s="494"/>
      <c r="K15" s="494"/>
      <c r="L15" s="494"/>
      <c r="O15" s="497" t="s">
        <v>381</v>
      </c>
      <c r="P15" s="497"/>
      <c r="Q15" s="497"/>
      <c r="R15" s="497"/>
    </row>
    <row r="16" spans="1:18" x14ac:dyDescent="0.2">
      <c r="A16" s="371" t="s">
        <v>221</v>
      </c>
      <c r="B16" s="371">
        <v>4</v>
      </c>
      <c r="I16" s="387" t="s">
        <v>207</v>
      </c>
      <c r="J16" s="387" t="s">
        <v>208</v>
      </c>
      <c r="K16" s="387" t="s">
        <v>209</v>
      </c>
      <c r="L16" s="387" t="s">
        <v>210</v>
      </c>
      <c r="O16" s="388" t="s">
        <v>207</v>
      </c>
      <c r="P16" s="388" t="s">
        <v>208</v>
      </c>
      <c r="Q16" s="388" t="s">
        <v>209</v>
      </c>
      <c r="R16" s="388" t="s">
        <v>210</v>
      </c>
    </row>
    <row r="17" spans="1:19" x14ac:dyDescent="0.2">
      <c r="D17" s="389" t="s">
        <v>217</v>
      </c>
      <c r="E17" s="389" t="s">
        <v>218</v>
      </c>
      <c r="F17" s="389" t="s">
        <v>219</v>
      </c>
      <c r="I17" s="387" t="s">
        <v>278</v>
      </c>
      <c r="J17" s="390">
        <v>2</v>
      </c>
      <c r="K17" s="390">
        <v>11</v>
      </c>
      <c r="L17" s="390" t="s">
        <v>55</v>
      </c>
      <c r="O17" s="388" t="s">
        <v>278</v>
      </c>
      <c r="P17" s="391">
        <v>2</v>
      </c>
      <c r="Q17" s="391">
        <v>11</v>
      </c>
      <c r="R17" s="391" t="s">
        <v>55</v>
      </c>
    </row>
    <row r="18" spans="1:19" x14ac:dyDescent="0.2">
      <c r="A18" s="392" t="s">
        <v>205</v>
      </c>
      <c r="B18" s="392">
        <v>19</v>
      </c>
      <c r="D18" s="389">
        <v>6</v>
      </c>
      <c r="E18" s="393">
        <f>(J17*J19)+(K17*K19)+(K18*K20)+(B15*L20)+(B16*L21)</f>
        <v>225.3754247758705</v>
      </c>
      <c r="F18" s="393">
        <f>(J24*J26)+(K24*K26)+(J25*J27)+(K25*K27)+(L25*L27)</f>
        <v>315.94064785348081</v>
      </c>
      <c r="I18" s="387" t="s">
        <v>279</v>
      </c>
      <c r="J18" s="390" t="s">
        <v>55</v>
      </c>
      <c r="K18" s="390">
        <v>3</v>
      </c>
      <c r="L18" s="390">
        <v>9</v>
      </c>
      <c r="O18" s="388" t="s">
        <v>279</v>
      </c>
      <c r="P18" s="391" t="s">
        <v>55</v>
      </c>
      <c r="Q18" s="391">
        <v>3</v>
      </c>
      <c r="R18" s="391">
        <v>9</v>
      </c>
    </row>
    <row r="19" spans="1:19" x14ac:dyDescent="0.2">
      <c r="A19" s="392" t="s">
        <v>206</v>
      </c>
      <c r="B19" s="392">
        <v>20</v>
      </c>
      <c r="D19" s="389">
        <v>5</v>
      </c>
      <c r="E19" s="393">
        <f>($E$3*$P$19)+($F$3*$Q$19)+($F$4*$Q$20)+($B$15*$G$6)+($B$16*$G$7)</f>
        <v>275.55959059488424</v>
      </c>
      <c r="F19" s="393">
        <f>($E$10*$P$26)+($F$10*$Q$26)+($E$11*$P$27)+($F$11*$Q$27)+($G$11*$R$27)</f>
        <v>387.10706697681468</v>
      </c>
      <c r="I19" s="387" t="s">
        <v>280</v>
      </c>
      <c r="J19" s="394">
        <f>'[5]x terr 2 tr emerg 30x70'!$L$5</f>
        <v>21.53707100714005</v>
      </c>
      <c r="K19" s="394">
        <f>'[5]x terr 1 tr emerg 30x70'!$L$5</f>
        <v>12.084041590728967</v>
      </c>
      <c r="L19" s="390" t="s">
        <v>55</v>
      </c>
      <c r="O19" s="388" t="s">
        <v>280</v>
      </c>
      <c r="P19" s="395">
        <f>'[6]x p.4 30x80 2 tr emerg'!$L$5</f>
        <v>26.46333620453073</v>
      </c>
      <c r="Q19" s="395">
        <f>'[7]x p.4 30x70 1 tr emer'!$L$5</f>
        <v>15.436768653433358</v>
      </c>
      <c r="R19" s="391" t="s">
        <v>55</v>
      </c>
    </row>
    <row r="20" spans="1:19" x14ac:dyDescent="0.2">
      <c r="A20" s="392" t="str">
        <f>'masse e forze'!A25</f>
        <v>N pilastri =</v>
      </c>
      <c r="B20" s="392">
        <f>'masse e forze'!B25</f>
        <v>27</v>
      </c>
      <c r="D20" s="389">
        <v>4</v>
      </c>
      <c r="E20" s="393">
        <f>($E$3*$E$5)+($F$3*$F$5)+($F$4*$F$6)+($B$15*$G$6)+($B$16*$G$7)</f>
        <v>331.96657660337337</v>
      </c>
      <c r="F20" s="393">
        <f t="shared" ref="F20:F22" si="0">($E$10*$E$12)+($F$10*$F$12)+($E$11*$E$13)+($F$11*$F$13)+($G$11*$G$13)</f>
        <v>458.35476615151066</v>
      </c>
      <c r="I20" s="387" t="s">
        <v>281</v>
      </c>
      <c r="J20" s="390" t="s">
        <v>55</v>
      </c>
      <c r="K20" s="394">
        <f>'[5]70x30 1 trav emerg x terr'!$L$5</f>
        <v>7.8318167712217353</v>
      </c>
      <c r="L20" s="396">
        <f>'[5]x terr 70x30 2 sp'!$L$5</f>
        <v>3.5852091840472422</v>
      </c>
      <c r="M20" s="397" t="s">
        <v>228</v>
      </c>
      <c r="O20" s="388" t="s">
        <v>281</v>
      </c>
      <c r="P20" s="391" t="s">
        <v>55</v>
      </c>
      <c r="Q20" s="395">
        <f>'[6]x p.4 80x30 1 tr emerg'!$L$5</f>
        <v>8.982362682716424</v>
      </c>
      <c r="R20" s="398">
        <f>'[6] x p.4 80x30 2 spess'!$L$5</f>
        <v>3.5852091840472422</v>
      </c>
      <c r="S20" s="399" t="s">
        <v>228</v>
      </c>
    </row>
    <row r="21" spans="1:19" x14ac:dyDescent="0.2">
      <c r="A21" s="392" t="str">
        <f>'masse e forze'!A26</f>
        <v>direzione x=</v>
      </c>
      <c r="B21" s="392">
        <f>'masse e forze'!B26</f>
        <v>13</v>
      </c>
      <c r="D21" s="389">
        <v>3</v>
      </c>
      <c r="E21" s="393">
        <f>($E$3*$E$5)+($F$3*$F$5)+($F$4*$F$6)+($B$15*$G$6)+($B$16*$G$7)</f>
        <v>331.96657660337337</v>
      </c>
      <c r="F21" s="393">
        <f t="shared" si="0"/>
        <v>458.35476615151066</v>
      </c>
      <c r="L21" s="396">
        <f>'[5]x 70x30 1 sp'!$L$5</f>
        <v>1.9888322574175896</v>
      </c>
      <c r="M21" s="397" t="s">
        <v>229</v>
      </c>
      <c r="R21" s="398">
        <f>'[6]x p.4 80x30 1 spess'!$L$5</f>
        <v>1.9888322574175896</v>
      </c>
      <c r="S21" s="399" t="s">
        <v>229</v>
      </c>
    </row>
    <row r="22" spans="1:19" x14ac:dyDescent="0.2">
      <c r="A22" s="392" t="str">
        <f>'masse e forze'!A27</f>
        <v>direzione y=</v>
      </c>
      <c r="B22" s="392">
        <f>'masse e forze'!B27</f>
        <v>12</v>
      </c>
      <c r="D22" s="389">
        <v>2</v>
      </c>
      <c r="E22" s="393">
        <f>($E$3*$E$5)+($F$3*$F$5)+($F$4*$F$6)+($B$15*$G$6)+($B$16*$G$7)</f>
        <v>331.96657660337337</v>
      </c>
      <c r="F22" s="393">
        <f t="shared" si="0"/>
        <v>458.35476615151066</v>
      </c>
      <c r="I22" s="494" t="s">
        <v>216</v>
      </c>
      <c r="J22" s="494"/>
      <c r="K22" s="494"/>
      <c r="L22" s="494"/>
      <c r="O22" s="497" t="s">
        <v>382</v>
      </c>
      <c r="P22" s="497"/>
      <c r="Q22" s="497"/>
      <c r="R22" s="497"/>
    </row>
    <row r="23" spans="1:19" x14ac:dyDescent="0.2">
      <c r="D23" s="389">
        <v>1</v>
      </c>
      <c r="E23" s="393">
        <f>(J3*J5)+(K3*K5)+(K4*K6)+(L6*B15)+(L7*B16)</f>
        <v>479.99587802785965</v>
      </c>
      <c r="F23" s="393">
        <f>(J10*J12)+(K10*K12)+(J11*J13)+(K11*K13)+(L11*L13)</f>
        <v>536.11466122653701</v>
      </c>
      <c r="G23" s="400"/>
      <c r="H23" s="400"/>
      <c r="I23" s="387" t="s">
        <v>207</v>
      </c>
      <c r="J23" s="387" t="s">
        <v>208</v>
      </c>
      <c r="K23" s="387" t="s">
        <v>209</v>
      </c>
      <c r="L23" s="387" t="s">
        <v>210</v>
      </c>
      <c r="O23" s="388" t="s">
        <v>207</v>
      </c>
      <c r="P23" s="388" t="s">
        <v>208</v>
      </c>
      <c r="Q23" s="388" t="s">
        <v>209</v>
      </c>
      <c r="R23" s="388" t="s">
        <v>210</v>
      </c>
    </row>
    <row r="24" spans="1:19" x14ac:dyDescent="0.2">
      <c r="G24" s="400"/>
      <c r="H24" s="400"/>
      <c r="I24" s="387" t="s">
        <v>278</v>
      </c>
      <c r="J24" s="390">
        <v>9</v>
      </c>
      <c r="K24" s="390">
        <v>3</v>
      </c>
      <c r="L24" s="390" t="s">
        <v>55</v>
      </c>
      <c r="O24" s="388" t="s">
        <v>278</v>
      </c>
      <c r="P24" s="391">
        <v>9</v>
      </c>
      <c r="Q24" s="391">
        <v>3</v>
      </c>
      <c r="R24" s="391" t="s">
        <v>55</v>
      </c>
    </row>
    <row r="25" spans="1:19" x14ac:dyDescent="0.2">
      <c r="I25" s="387" t="s">
        <v>279</v>
      </c>
      <c r="J25" s="390">
        <v>1</v>
      </c>
      <c r="K25" s="390">
        <v>11</v>
      </c>
      <c r="L25" s="390">
        <v>1</v>
      </c>
      <c r="O25" s="388" t="s">
        <v>279</v>
      </c>
      <c r="P25" s="391">
        <v>1</v>
      </c>
      <c r="Q25" s="391">
        <v>11</v>
      </c>
      <c r="R25" s="391">
        <v>1</v>
      </c>
    </row>
    <row r="26" spans="1:19" x14ac:dyDescent="0.2">
      <c r="A26" s="389" t="s">
        <v>406</v>
      </c>
      <c r="B26" s="389" t="s">
        <v>90</v>
      </c>
      <c r="C26" s="389" t="str">
        <f>'masse e forze'!K9</f>
        <v>V</v>
      </c>
      <c r="D26" s="389" t="s">
        <v>222</v>
      </c>
      <c r="E26" s="389" t="s">
        <v>223</v>
      </c>
      <c r="F26" s="389" t="s">
        <v>121</v>
      </c>
      <c r="G26" s="389" t="s">
        <v>224</v>
      </c>
      <c r="H26" s="389" t="s">
        <v>226</v>
      </c>
      <c r="I26" s="387" t="s">
        <v>280</v>
      </c>
      <c r="J26" s="396">
        <f>'[5] y 30x70 2 tr emetg'!$L$5</f>
        <v>20.540016477892124</v>
      </c>
      <c r="K26" s="396">
        <f>'[5]y 30x70 1 tr emerg'!$L$5</f>
        <v>11.459802688385174</v>
      </c>
      <c r="L26" s="390" t="s">
        <v>55</v>
      </c>
      <c r="O26" s="388" t="s">
        <v>280</v>
      </c>
      <c r="P26" s="398">
        <f>'[6]y 30x80 2 tr emerg'!$L$5</f>
        <v>25.333748699753201</v>
      </c>
      <c r="Q26" s="398">
        <f>'[6]y 30x80 1 tr emerg'!$L$5</f>
        <v>14.681193488833213</v>
      </c>
      <c r="R26" s="391" t="s">
        <v>55</v>
      </c>
    </row>
    <row r="27" spans="1:19" x14ac:dyDescent="0.2">
      <c r="A27" s="389" t="s">
        <v>200</v>
      </c>
      <c r="B27" s="393">
        <f>'masse e forze'!J10</f>
        <v>473.50391604711103</v>
      </c>
      <c r="C27" s="393">
        <f>'masse e forze'!K10</f>
        <v>473.50391604711103</v>
      </c>
      <c r="D27" s="393">
        <f t="shared" ref="D27:D32" si="1">C27/E18</f>
        <v>2.1009562889032702</v>
      </c>
      <c r="E27" s="393">
        <f>E28+D27</f>
        <v>20.262745023666199</v>
      </c>
      <c r="F27" s="393">
        <f>'masse e forze'!E10</f>
        <v>353.8073394495413</v>
      </c>
      <c r="G27" s="393">
        <f t="shared" ref="G27:G32" si="2">B27*E27</f>
        <v>9594.4891185700562</v>
      </c>
      <c r="H27" s="401">
        <f t="shared" ref="H27:H32" si="3">(F27*(E27^2))/1000</f>
        <v>145.26580556198465</v>
      </c>
      <c r="I27" s="387" t="s">
        <v>281</v>
      </c>
      <c r="J27" s="394">
        <f>'[5]y 70x30 2 tr emerg'!$L$5</f>
        <v>10.681937318567646</v>
      </c>
      <c r="K27" s="394">
        <f>'[5]y 70x 30 1 tr emergente'!$L$5</f>
        <v>7.5647507595373149</v>
      </c>
      <c r="L27" s="396">
        <f>'[5]y 70x30 1 sp'!$L$5</f>
        <v>2.8068958138180466</v>
      </c>
      <c r="O27" s="388" t="s">
        <v>281</v>
      </c>
      <c r="P27" s="395">
        <f>'[6]y 80x30 2 tr emerg'!$L$5</f>
        <v>11.743655791615245</v>
      </c>
      <c r="Q27" s="395">
        <f>'[6]y 80x30 1 tr emerg'!$L$5</f>
        <v>8.7129642430861924</v>
      </c>
      <c r="R27" s="398">
        <f>'[6]y 80x30 1 tr spess'!$L$5</f>
        <v>7.4734857469728491</v>
      </c>
    </row>
    <row r="28" spans="1:19" x14ac:dyDescent="0.2">
      <c r="A28" s="389">
        <v>5</v>
      </c>
      <c r="B28" s="393">
        <f>'masse e forze'!J11</f>
        <v>357.41452052951661</v>
      </c>
      <c r="C28" s="393">
        <f>'masse e forze'!K11</f>
        <v>830.91843657662764</v>
      </c>
      <c r="D28" s="393">
        <f t="shared" si="1"/>
        <v>3.0153856549968818</v>
      </c>
      <c r="E28" s="393">
        <f>E29+D28</f>
        <v>18.161788734762929</v>
      </c>
      <c r="F28" s="393">
        <f>'masse e forze'!E11</f>
        <v>318.8583078491335</v>
      </c>
      <c r="G28" s="393">
        <f t="shared" si="2"/>
        <v>6491.2870125936688</v>
      </c>
      <c r="H28" s="401">
        <f t="shared" si="3"/>
        <v>105.17559460799119</v>
      </c>
    </row>
    <row r="29" spans="1:19" x14ac:dyDescent="0.2">
      <c r="A29" s="389">
        <v>4</v>
      </c>
      <c r="B29" s="393">
        <f>'masse e forze'!J12</f>
        <v>288.09776503288305</v>
      </c>
      <c r="C29" s="393">
        <f>'masse e forze'!K12</f>
        <v>1119.0162016095107</v>
      </c>
      <c r="D29" s="393">
        <f t="shared" si="1"/>
        <v>3.3708700829435836</v>
      </c>
      <c r="E29" s="393">
        <f>E30+D29</f>
        <v>15.146403079766049</v>
      </c>
      <c r="F29" s="393">
        <f>'masse e forze'!E12</f>
        <v>318.8583078491335</v>
      </c>
      <c r="G29" s="393">
        <f t="shared" si="2"/>
        <v>4363.6448755677757</v>
      </c>
      <c r="H29" s="401">
        <f t="shared" si="3"/>
        <v>73.150408779291212</v>
      </c>
    </row>
    <row r="30" spans="1:19" x14ac:dyDescent="0.2">
      <c r="A30" s="389">
        <v>3</v>
      </c>
      <c r="B30" s="393">
        <f>'masse e forze'!J13</f>
        <v>218.78100953624957</v>
      </c>
      <c r="C30" s="393">
        <f>'masse e forze'!K13</f>
        <v>1337.7972111457602</v>
      </c>
      <c r="D30" s="393">
        <f t="shared" si="1"/>
        <v>4.0299153753184376</v>
      </c>
      <c r="E30" s="393">
        <f>E31+D30</f>
        <v>11.775532996822466</v>
      </c>
      <c r="F30" s="393">
        <f>'masse e forze'!E13</f>
        <v>318.8583078491335</v>
      </c>
      <c r="G30" s="393">
        <f t="shared" si="2"/>
        <v>2576.2629968722376</v>
      </c>
      <c r="H30" s="401">
        <f t="shared" si="3"/>
        <v>44.213906093756229</v>
      </c>
    </row>
    <row r="31" spans="1:19" x14ac:dyDescent="0.2">
      <c r="A31" s="389">
        <v>2</v>
      </c>
      <c r="B31" s="393">
        <f>'masse e forze'!J14</f>
        <v>149.46425403961604</v>
      </c>
      <c r="C31" s="393">
        <f>'masse e forze'!K14</f>
        <v>1487.2614651853762</v>
      </c>
      <c r="D31" s="393">
        <f t="shared" si="1"/>
        <v>4.4801542384260111</v>
      </c>
      <c r="E31" s="393">
        <f>E32+D31</f>
        <v>7.7456176215040298</v>
      </c>
      <c r="F31" s="393">
        <f>'masse e forze'!E14</f>
        <v>318.8583078491335</v>
      </c>
      <c r="G31" s="393">
        <f t="shared" si="2"/>
        <v>1157.6929598742049</v>
      </c>
      <c r="H31" s="401">
        <f t="shared" si="3"/>
        <v>19.129774193169837</v>
      </c>
    </row>
    <row r="32" spans="1:19" x14ac:dyDescent="0.2">
      <c r="A32" s="389">
        <v>1</v>
      </c>
      <c r="B32" s="393">
        <f>'masse e forze'!J15</f>
        <v>80.147498542982504</v>
      </c>
      <c r="C32" s="393">
        <f>'masse e forze'!K15</f>
        <v>1567.4089637283587</v>
      </c>
      <c r="D32" s="393">
        <f t="shared" si="1"/>
        <v>3.2654633830780191</v>
      </c>
      <c r="E32" s="393">
        <f>D32</f>
        <v>3.2654633830780191</v>
      </c>
      <c r="F32" s="393">
        <f>'masse e forze'!E15</f>
        <v>318.8583078491335</v>
      </c>
      <c r="G32" s="393">
        <f t="shared" si="2"/>
        <v>261.71872173740826</v>
      </c>
      <c r="H32" s="401">
        <f t="shared" si="3"/>
        <v>3.4000662039007756</v>
      </c>
    </row>
    <row r="33" spans="1:12" x14ac:dyDescent="0.2">
      <c r="A33" s="389" t="s">
        <v>225</v>
      </c>
      <c r="B33" s="402"/>
      <c r="C33" s="402"/>
      <c r="D33" s="402"/>
      <c r="E33" s="402"/>
      <c r="F33" s="402"/>
      <c r="G33" s="393">
        <f>SUM(G27:G32)</f>
        <v>24445.095685215354</v>
      </c>
      <c r="H33" s="401">
        <f>SUM(H27:H32)</f>
        <v>390.33555544009391</v>
      </c>
    </row>
    <row r="34" spans="1:12" x14ac:dyDescent="0.2">
      <c r="A34" s="402"/>
      <c r="B34" s="402"/>
      <c r="C34" s="402"/>
      <c r="D34" s="402"/>
      <c r="E34" s="402"/>
      <c r="F34" s="402"/>
      <c r="G34" s="402"/>
      <c r="H34" s="402"/>
    </row>
    <row r="35" spans="1:12" x14ac:dyDescent="0.2">
      <c r="A35" s="402"/>
      <c r="B35" s="402"/>
      <c r="C35" s="402"/>
      <c r="D35" s="402"/>
      <c r="E35" s="402"/>
      <c r="F35" s="402"/>
      <c r="G35" s="389" t="s">
        <v>227</v>
      </c>
      <c r="H35" s="403">
        <f>2*PI()*SQRT(H33/G33)</f>
        <v>0.79396810039451493</v>
      </c>
      <c r="K35" s="404" t="s">
        <v>85</v>
      </c>
      <c r="L35" s="405">
        <f>'masse e forze'!B21</f>
        <v>0.7013114556897867</v>
      </c>
    </row>
    <row r="36" spans="1:12" x14ac:dyDescent="0.2">
      <c r="A36" s="389" t="s">
        <v>217</v>
      </c>
      <c r="B36" s="389" t="str">
        <f t="shared" ref="B36:C42" si="4">B26</f>
        <v>F</v>
      </c>
      <c r="C36" s="389" t="str">
        <f t="shared" si="4"/>
        <v>V</v>
      </c>
      <c r="D36" s="389" t="s">
        <v>230</v>
      </c>
      <c r="E36" s="389" t="s">
        <v>231</v>
      </c>
      <c r="F36" s="389" t="s">
        <v>121</v>
      </c>
      <c r="G36" s="389" t="s">
        <v>224</v>
      </c>
      <c r="H36" s="389" t="s">
        <v>226</v>
      </c>
    </row>
    <row r="37" spans="1:12" x14ac:dyDescent="0.2">
      <c r="A37" s="389" t="s">
        <v>200</v>
      </c>
      <c r="B37" s="393">
        <f t="shared" si="4"/>
        <v>473.50391604711103</v>
      </c>
      <c r="C37" s="393">
        <f t="shared" si="4"/>
        <v>473.50391604711103</v>
      </c>
      <c r="D37" s="393">
        <f t="shared" ref="D37:D42" si="5">C27/F18</f>
        <v>1.4987116069556869</v>
      </c>
      <c r="E37" s="393">
        <f t="shared" ref="E37:E40" si="6">E38+D37</f>
        <v>15.173690749789767</v>
      </c>
      <c r="F37" s="393">
        <f t="shared" ref="F37:F42" si="7">F27</f>
        <v>353.8073394495413</v>
      </c>
      <c r="G37" s="393">
        <f t="shared" ref="G37:G42" si="8">B27*E37</f>
        <v>7184.801990913279</v>
      </c>
      <c r="H37" s="401">
        <f>(F37*(E37^2))/1000</f>
        <v>81.460917066678036</v>
      </c>
    </row>
    <row r="38" spans="1:12" x14ac:dyDescent="0.2">
      <c r="A38" s="389">
        <v>5</v>
      </c>
      <c r="B38" s="393">
        <f t="shared" si="4"/>
        <v>357.41452052951661</v>
      </c>
      <c r="C38" s="393">
        <f t="shared" si="4"/>
        <v>830.91843657662764</v>
      </c>
      <c r="D38" s="393">
        <f t="shared" si="5"/>
        <v>2.1464822201925715</v>
      </c>
      <c r="E38" s="393">
        <f t="shared" si="6"/>
        <v>13.674979142834079</v>
      </c>
      <c r="F38" s="393">
        <f t="shared" si="7"/>
        <v>318.8583078491335</v>
      </c>
      <c r="G38" s="393">
        <f t="shared" si="8"/>
        <v>4887.6361135871821</v>
      </c>
      <c r="H38" s="401">
        <f t="shared" ref="H38:H42" si="9">(F38*(E38^2))/1000</f>
        <v>59.628115255263047</v>
      </c>
    </row>
    <row r="39" spans="1:12" x14ac:dyDescent="0.2">
      <c r="A39" s="389">
        <v>4</v>
      </c>
      <c r="B39" s="393">
        <f t="shared" si="4"/>
        <v>288.09776503288305</v>
      </c>
      <c r="C39" s="393">
        <f t="shared" si="4"/>
        <v>1119.0162016095107</v>
      </c>
      <c r="D39" s="393">
        <f t="shared" si="5"/>
        <v>2.4413757295579561</v>
      </c>
      <c r="E39" s="393">
        <f t="shared" si="6"/>
        <v>11.528496922641507</v>
      </c>
      <c r="F39" s="393">
        <f t="shared" si="7"/>
        <v>318.8583078491335</v>
      </c>
      <c r="G39" s="393">
        <f t="shared" si="8"/>
        <v>3321.3341976014881</v>
      </c>
      <c r="H39" s="401">
        <f t="shared" si="9"/>
        <v>42.378259202025433</v>
      </c>
    </row>
    <row r="40" spans="1:12" x14ac:dyDescent="0.2">
      <c r="A40" s="389">
        <v>3</v>
      </c>
      <c r="B40" s="393">
        <f t="shared" si="4"/>
        <v>218.78100953624957</v>
      </c>
      <c r="C40" s="393">
        <f t="shared" si="4"/>
        <v>1337.7972111457602</v>
      </c>
      <c r="D40" s="393">
        <f t="shared" si="5"/>
        <v>2.9186937934088091</v>
      </c>
      <c r="E40" s="393">
        <f t="shared" si="6"/>
        <v>9.0871211930835507</v>
      </c>
      <c r="F40" s="393">
        <f t="shared" si="7"/>
        <v>318.8583078491335</v>
      </c>
      <c r="G40" s="393">
        <f t="shared" si="8"/>
        <v>1988.089548401068</v>
      </c>
      <c r="H40" s="401">
        <f t="shared" si="9"/>
        <v>26.329970794630125</v>
      </c>
    </row>
    <row r="41" spans="1:12" x14ac:dyDescent="0.2">
      <c r="A41" s="389">
        <v>2</v>
      </c>
      <c r="B41" s="393">
        <f t="shared" si="4"/>
        <v>149.46425403961604</v>
      </c>
      <c r="C41" s="393">
        <f t="shared" si="4"/>
        <v>1487.2614651853762</v>
      </c>
      <c r="D41" s="393">
        <f t="shared" si="5"/>
        <v>3.2447823716831539</v>
      </c>
      <c r="E41" s="393">
        <f>E42+D41</f>
        <v>6.1684273996747407</v>
      </c>
      <c r="F41" s="393">
        <f t="shared" si="7"/>
        <v>318.8583078491335</v>
      </c>
      <c r="G41" s="393">
        <f t="shared" si="8"/>
        <v>921.95939988991358</v>
      </c>
      <c r="H41" s="401">
        <f t="shared" si="9"/>
        <v>12.132398095623005</v>
      </c>
    </row>
    <row r="42" spans="1:12" x14ac:dyDescent="0.2">
      <c r="A42" s="389">
        <v>1</v>
      </c>
      <c r="B42" s="393">
        <f t="shared" si="4"/>
        <v>80.147498542982504</v>
      </c>
      <c r="C42" s="393">
        <f t="shared" si="4"/>
        <v>1567.4089637283587</v>
      </c>
      <c r="D42" s="393">
        <f t="shared" si="5"/>
        <v>2.9236450279915864</v>
      </c>
      <c r="E42" s="393">
        <f>D42</f>
        <v>2.9236450279915864</v>
      </c>
      <c r="F42" s="393">
        <f t="shared" si="7"/>
        <v>318.8583078491335</v>
      </c>
      <c r="G42" s="393">
        <f t="shared" si="8"/>
        <v>234.32283562115373</v>
      </c>
      <c r="H42" s="401">
        <f t="shared" si="9"/>
        <v>2.7255052376209337</v>
      </c>
    </row>
    <row r="43" spans="1:12" x14ac:dyDescent="0.2">
      <c r="A43" s="389" t="s">
        <v>225</v>
      </c>
      <c r="B43" s="402"/>
      <c r="C43" s="402"/>
      <c r="D43" s="402"/>
      <c r="E43" s="402"/>
      <c r="F43" s="402"/>
      <c r="G43" s="393">
        <f>SUM(G37:G42)</f>
        <v>18538.144086014086</v>
      </c>
      <c r="H43" s="401">
        <f>SUM(H37:H42)</f>
        <v>224.6551656518406</v>
      </c>
    </row>
    <row r="44" spans="1:12" x14ac:dyDescent="0.2">
      <c r="A44" s="402"/>
      <c r="B44" s="402"/>
      <c r="C44" s="402"/>
      <c r="D44" s="402"/>
      <c r="E44" s="402"/>
      <c r="F44" s="402"/>
      <c r="G44" s="402"/>
      <c r="H44" s="402"/>
    </row>
    <row r="45" spans="1:12" x14ac:dyDescent="0.2">
      <c r="A45" s="402"/>
      <c r="B45" s="402"/>
      <c r="C45" s="402"/>
      <c r="D45" s="402"/>
      <c r="E45" s="402"/>
      <c r="F45" s="402"/>
      <c r="G45" s="389" t="s">
        <v>232</v>
      </c>
      <c r="H45" s="403">
        <f>2*PI()*SQRT(H43/G43)</f>
        <v>0.69167956685069887</v>
      </c>
    </row>
    <row r="47" spans="1:12" x14ac:dyDescent="0.2">
      <c r="A47" s="406" t="s">
        <v>253</v>
      </c>
      <c r="B47" s="407"/>
      <c r="C47" s="407"/>
      <c r="D47" s="408"/>
    </row>
    <row r="48" spans="1:12" ht="30.75" customHeight="1" x14ac:dyDescent="0.2">
      <c r="A48" s="409" t="s">
        <v>217</v>
      </c>
      <c r="B48" s="409" t="s">
        <v>254</v>
      </c>
      <c r="C48" s="409" t="s">
        <v>255</v>
      </c>
      <c r="F48" s="491" t="s">
        <v>256</v>
      </c>
      <c r="G48" s="492"/>
    </row>
    <row r="49" spans="1:10" x14ac:dyDescent="0.2">
      <c r="A49" s="410">
        <v>6</v>
      </c>
      <c r="B49" s="411">
        <f>E18/J19</f>
        <v>10.464534601810673</v>
      </c>
      <c r="C49" s="411">
        <f>F18/J26</f>
        <v>15.381713456439426</v>
      </c>
      <c r="F49" s="412" t="s">
        <v>93</v>
      </c>
      <c r="G49" s="412">
        <v>13</v>
      </c>
    </row>
    <row r="50" spans="1:10" x14ac:dyDescent="0.2">
      <c r="A50" s="413" t="s">
        <v>408</v>
      </c>
      <c r="B50" s="411">
        <f>E19/P19</f>
        <v>10.41288174949409</v>
      </c>
      <c r="C50" s="411">
        <f>F19/P26</f>
        <v>15.280291581189713</v>
      </c>
      <c r="F50" s="392"/>
      <c r="G50" s="392"/>
    </row>
    <row r="51" spans="1:10" x14ac:dyDescent="0.2">
      <c r="A51" s="413" t="s">
        <v>409</v>
      </c>
      <c r="B51" s="411">
        <f>E21/E5</f>
        <v>10.33384077377467</v>
      </c>
      <c r="C51" s="411">
        <f>F21/E12</f>
        <v>14.866045217207526</v>
      </c>
      <c r="F51" s="412" t="s">
        <v>94</v>
      </c>
      <c r="G51" s="412">
        <v>12</v>
      </c>
    </row>
    <row r="52" spans="1:10" x14ac:dyDescent="0.2">
      <c r="A52" s="410">
        <v>1</v>
      </c>
      <c r="B52" s="411">
        <f>E23/J5</f>
        <v>12.690068830702442</v>
      </c>
      <c r="C52" s="411">
        <f>F23/J12</f>
        <v>14.446536987738584</v>
      </c>
    </row>
    <row r="53" spans="1:10" x14ac:dyDescent="0.2">
      <c r="B53" s="412">
        <v>12</v>
      </c>
      <c r="C53" s="412">
        <v>13</v>
      </c>
    </row>
    <row r="54" spans="1:10" x14ac:dyDescent="0.2">
      <c r="A54" s="389" t="s">
        <v>217</v>
      </c>
      <c r="B54" s="414" t="s">
        <v>410</v>
      </c>
      <c r="C54" s="414" t="s">
        <v>411</v>
      </c>
      <c r="D54" s="389" t="s">
        <v>290</v>
      </c>
      <c r="E54" s="389" t="s">
        <v>295</v>
      </c>
      <c r="F54" s="389" t="s">
        <v>291</v>
      </c>
      <c r="G54" s="389" t="s">
        <v>292</v>
      </c>
      <c r="I54" s="389" t="s">
        <v>293</v>
      </c>
      <c r="J54" s="389" t="s">
        <v>294</v>
      </c>
    </row>
    <row r="55" spans="1:10" x14ac:dyDescent="0.2">
      <c r="A55" s="389">
        <v>6</v>
      </c>
      <c r="B55" s="393">
        <f>E18</f>
        <v>225.3754247758705</v>
      </c>
      <c r="C55" s="393">
        <f>F18</f>
        <v>315.94064785348081</v>
      </c>
      <c r="D55" s="401">
        <f>'rig terrazza'!AB57</f>
        <v>14.611432848922934</v>
      </c>
      <c r="E55" s="401">
        <f>'rig terrazza'!AG3</f>
        <v>6.698807957328758</v>
      </c>
      <c r="F55" s="415"/>
      <c r="G55" s="415"/>
      <c r="I55" s="415">
        <f>'rig terrazza'!AD57</f>
        <v>14.48</v>
      </c>
      <c r="J55" s="415">
        <f>'rig p.5'!AI3</f>
        <v>7.42</v>
      </c>
    </row>
    <row r="56" spans="1:10" x14ac:dyDescent="0.2">
      <c r="A56" s="389">
        <v>5</v>
      </c>
      <c r="B56" s="393">
        <f t="shared" ref="B56:B60" si="10">E19</f>
        <v>275.55959059488424</v>
      </c>
      <c r="C56" s="393">
        <f t="shared" ref="C56:C60" si="11">F19</f>
        <v>387.10706697681468</v>
      </c>
      <c r="D56" s="401">
        <f>'rig p.5'!AB57</f>
        <v>14.526072984846881</v>
      </c>
      <c r="E56" s="401">
        <f>'rig p.5'!AG3</f>
        <v>6.7197766360665092</v>
      </c>
      <c r="F56" s="415"/>
      <c r="G56" s="415"/>
      <c r="I56" s="415">
        <f>'rig p.5'!AD57</f>
        <v>14.52</v>
      </c>
      <c r="J56" s="415">
        <f>'rig p.5'!AI3</f>
        <v>7.42</v>
      </c>
    </row>
    <row r="57" spans="1:10" x14ac:dyDescent="0.2">
      <c r="A57" s="389">
        <v>4</v>
      </c>
      <c r="B57" s="393">
        <f t="shared" si="10"/>
        <v>331.96657660337337</v>
      </c>
      <c r="C57" s="393">
        <f t="shared" si="11"/>
        <v>458.35476615151066</v>
      </c>
      <c r="D57" s="401">
        <f>'rig p.5'!AB57</f>
        <v>14.526072984846881</v>
      </c>
      <c r="E57" s="401">
        <f>'rig p.5'!AG3</f>
        <v>6.7197766360665092</v>
      </c>
      <c r="F57" s="415"/>
      <c r="G57" s="415"/>
      <c r="I57" s="415">
        <f>I56</f>
        <v>14.52</v>
      </c>
      <c r="J57" s="415">
        <f>J56</f>
        <v>7.42</v>
      </c>
    </row>
    <row r="58" spans="1:10" x14ac:dyDescent="0.2">
      <c r="A58" s="389">
        <v>3</v>
      </c>
      <c r="B58" s="393">
        <f t="shared" si="10"/>
        <v>331.96657660337337</v>
      </c>
      <c r="C58" s="393">
        <f t="shared" si="11"/>
        <v>458.35476615151066</v>
      </c>
      <c r="D58" s="401">
        <f>'rig piano tipo'!AB57</f>
        <v>14.674215936153379</v>
      </c>
      <c r="E58" s="401">
        <f>'rig piano tipo'!AG3</f>
        <v>6.7300951730406782</v>
      </c>
      <c r="F58" s="415"/>
      <c r="G58" s="415"/>
      <c r="I58" s="415">
        <f>'rig piano tipo'!AD57</f>
        <v>14.52</v>
      </c>
      <c r="J58" s="415">
        <f>'rig piano tipo'!AI3</f>
        <v>7.42</v>
      </c>
    </row>
    <row r="59" spans="1:10" x14ac:dyDescent="0.2">
      <c r="A59" s="389">
        <v>2</v>
      </c>
      <c r="B59" s="393">
        <f t="shared" si="10"/>
        <v>331.96657660337337</v>
      </c>
      <c r="C59" s="393">
        <f t="shared" si="11"/>
        <v>458.35476615151066</v>
      </c>
      <c r="D59" s="401">
        <f>D58</f>
        <v>14.674215936153379</v>
      </c>
      <c r="E59" s="401">
        <f>E58</f>
        <v>6.7300951730406782</v>
      </c>
      <c r="F59" s="415"/>
      <c r="G59" s="415"/>
      <c r="I59" s="415">
        <f>I58</f>
        <v>14.52</v>
      </c>
      <c r="J59" s="415">
        <f>J58</f>
        <v>7.42</v>
      </c>
    </row>
    <row r="60" spans="1:10" x14ac:dyDescent="0.2">
      <c r="A60" s="389">
        <v>1</v>
      </c>
      <c r="B60" s="393">
        <f t="shared" si="10"/>
        <v>479.99587802785965</v>
      </c>
      <c r="C60" s="393">
        <f t="shared" si="11"/>
        <v>536.11466122653701</v>
      </c>
      <c r="D60" s="401">
        <f>'rig piano terra'!AB57</f>
        <v>14.674171791998209</v>
      </c>
      <c r="E60" s="401">
        <f>'rig piano terra'!AG3</f>
        <v>6.9773792749385244</v>
      </c>
      <c r="F60" s="415"/>
      <c r="G60" s="415"/>
      <c r="I60" s="401">
        <f>'rig piano terra'!AD57</f>
        <v>14.52</v>
      </c>
      <c r="J60" s="415">
        <f>'rig piano terra'!AI3</f>
        <v>7.42</v>
      </c>
    </row>
  </sheetData>
  <mergeCells count="11">
    <mergeCell ref="F48:G48"/>
    <mergeCell ref="O1:R1"/>
    <mergeCell ref="O6:R6"/>
    <mergeCell ref="I22:L22"/>
    <mergeCell ref="D1:G1"/>
    <mergeCell ref="D8:G8"/>
    <mergeCell ref="I1:L1"/>
    <mergeCell ref="I8:L8"/>
    <mergeCell ref="I15:L15"/>
    <mergeCell ref="O15:R15"/>
    <mergeCell ref="O22:R22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7"/>
  <sheetViews>
    <sheetView topLeftCell="G1" zoomScale="70" zoomScaleNormal="70" workbookViewId="0">
      <selection activeCell="AD57" sqref="AD57"/>
    </sheetView>
  </sheetViews>
  <sheetFormatPr defaultRowHeight="15" x14ac:dyDescent="0.25"/>
  <cols>
    <col min="1" max="1" width="41.42578125" customWidth="1"/>
    <col min="8" max="8" width="11" customWidth="1"/>
    <col min="26" max="26" width="9.85546875" customWidth="1"/>
  </cols>
  <sheetData>
    <row r="1" spans="2:35" x14ac:dyDescent="0.25">
      <c r="B1" s="105" t="s">
        <v>257</v>
      </c>
      <c r="C1" s="105" t="s">
        <v>258</v>
      </c>
      <c r="D1">
        <v>0.85</v>
      </c>
      <c r="F1" s="105"/>
      <c r="G1" s="105">
        <v>4.7</v>
      </c>
      <c r="H1" s="105"/>
      <c r="I1" s="105"/>
      <c r="J1" s="105"/>
      <c r="K1" s="105">
        <v>9.1999999999999993</v>
      </c>
      <c r="L1" s="105"/>
      <c r="M1" s="105"/>
      <c r="N1" s="105">
        <v>13.5</v>
      </c>
      <c r="O1" s="105"/>
      <c r="P1" s="105"/>
      <c r="Q1" s="105">
        <v>17.7</v>
      </c>
      <c r="R1" s="105"/>
      <c r="S1" s="105"/>
      <c r="T1" s="105">
        <v>22.34</v>
      </c>
      <c r="U1" s="105"/>
      <c r="V1" s="105"/>
      <c r="W1" s="105">
        <v>26.6</v>
      </c>
      <c r="X1" s="91"/>
      <c r="Z1" s="466" t="s">
        <v>259</v>
      </c>
      <c r="AA1" s="466"/>
      <c r="AB1" s="466"/>
      <c r="AC1" s="132" t="s">
        <v>260</v>
      </c>
      <c r="AD1" s="15"/>
      <c r="AE1" s="132" t="s">
        <v>261</v>
      </c>
      <c r="AG1" s="133" t="s">
        <v>262</v>
      </c>
      <c r="AI1" s="105" t="s">
        <v>289</v>
      </c>
    </row>
    <row r="2" spans="2:35" x14ac:dyDescent="0.25">
      <c r="B2" s="91">
        <v>13.95</v>
      </c>
      <c r="C2" s="105"/>
      <c r="D2" s="105"/>
      <c r="E2" s="105"/>
      <c r="F2" s="105"/>
      <c r="G2" s="114">
        <f>D21</f>
        <v>19.175840563420966</v>
      </c>
      <c r="H2" s="102"/>
      <c r="I2" s="102"/>
      <c r="J2" s="102"/>
      <c r="K2" s="164">
        <f>D21</f>
        <v>19.175840563420966</v>
      </c>
      <c r="L2" s="102"/>
      <c r="M2" s="102"/>
      <c r="N2" s="106"/>
      <c r="O2" s="105"/>
      <c r="P2" s="105"/>
      <c r="Q2" s="107"/>
      <c r="R2" s="102"/>
      <c r="S2" s="102"/>
      <c r="T2" s="164">
        <f>N26</f>
        <v>19.175840563420966</v>
      </c>
      <c r="U2" s="102"/>
      <c r="V2" s="102"/>
      <c r="W2" s="165">
        <f>D21</f>
        <v>19.175840563420966</v>
      </c>
      <c r="Z2" s="15"/>
      <c r="AA2" s="131">
        <f>G2+K2+T2+W2</f>
        <v>76.703362253683864</v>
      </c>
      <c r="AB2" s="137"/>
      <c r="AC2" s="142">
        <f>AA2*B2</f>
        <v>1070.0119034388899</v>
      </c>
      <c r="AD2" s="15"/>
      <c r="AE2" s="131">
        <f>AA2*(X30^2)</f>
        <v>14926.666052972514</v>
      </c>
    </row>
    <row r="3" spans="2:35" x14ac:dyDescent="0.25">
      <c r="B3" s="91"/>
      <c r="C3" s="105"/>
      <c r="D3" s="105"/>
      <c r="E3" s="105"/>
      <c r="F3" s="105"/>
      <c r="G3" s="108"/>
      <c r="H3" s="105"/>
      <c r="I3" s="105"/>
      <c r="J3" s="105"/>
      <c r="K3" s="105"/>
      <c r="L3" s="105"/>
      <c r="M3" s="105"/>
      <c r="N3" s="109"/>
      <c r="O3" s="105"/>
      <c r="P3" s="105"/>
      <c r="Q3" s="108"/>
      <c r="R3" s="105"/>
      <c r="S3" s="105"/>
      <c r="T3" s="105"/>
      <c r="U3" s="105"/>
      <c r="V3" s="105"/>
      <c r="W3" s="109"/>
      <c r="Z3" s="15"/>
      <c r="AA3" s="131"/>
      <c r="AB3" s="15"/>
      <c r="AC3" s="142"/>
      <c r="AD3" s="15"/>
      <c r="AE3" s="131"/>
      <c r="AG3" s="135">
        <f>AC28/AA28</f>
        <v>6.7300951730406782</v>
      </c>
      <c r="AI3" s="136">
        <v>7.42</v>
      </c>
    </row>
    <row r="4" spans="2:35" x14ac:dyDescent="0.25">
      <c r="B4" s="91"/>
      <c r="C4" s="105"/>
      <c r="D4" s="105"/>
      <c r="E4" s="105"/>
      <c r="F4" s="105"/>
      <c r="G4" s="108"/>
      <c r="H4" s="105"/>
      <c r="I4" s="105"/>
      <c r="J4" s="105"/>
      <c r="K4" s="105"/>
      <c r="L4" s="105"/>
      <c r="M4" s="105"/>
      <c r="N4" s="109"/>
      <c r="O4" s="105"/>
      <c r="P4" s="105"/>
      <c r="Q4" s="108"/>
      <c r="R4" s="105"/>
      <c r="S4" s="105"/>
      <c r="T4" s="105"/>
      <c r="U4" s="105"/>
      <c r="V4" s="105"/>
      <c r="W4" s="109"/>
      <c r="Z4" s="15"/>
      <c r="AA4" s="131"/>
      <c r="AB4" s="15"/>
      <c r="AC4" s="142"/>
      <c r="AD4" s="15"/>
      <c r="AE4" s="131"/>
    </row>
    <row r="5" spans="2:35" x14ac:dyDescent="0.25">
      <c r="B5" s="91"/>
      <c r="C5" s="105"/>
      <c r="D5" s="105"/>
      <c r="E5" s="105"/>
      <c r="F5" s="105"/>
      <c r="G5" s="108"/>
      <c r="H5" s="105"/>
      <c r="I5" s="105"/>
      <c r="J5" s="105"/>
      <c r="K5" s="105"/>
      <c r="L5" s="105"/>
      <c r="M5" s="105"/>
      <c r="N5" s="109"/>
      <c r="O5" s="105"/>
      <c r="P5" s="105"/>
      <c r="Q5" s="108"/>
      <c r="R5" s="105"/>
      <c r="S5" s="105"/>
      <c r="T5" s="105"/>
      <c r="U5" s="105"/>
      <c r="V5" s="105"/>
      <c r="W5" s="109"/>
      <c r="Z5" s="15"/>
      <c r="AA5" s="131"/>
      <c r="AB5" s="15"/>
      <c r="AC5" s="142"/>
      <c r="AD5" s="15"/>
      <c r="AE5" s="131"/>
    </row>
    <row r="6" spans="2:35" x14ac:dyDescent="0.25">
      <c r="B6" s="91"/>
      <c r="C6" s="105"/>
      <c r="D6" s="105"/>
      <c r="E6" s="105"/>
      <c r="F6" s="105"/>
      <c r="G6" s="108"/>
      <c r="H6" s="105"/>
      <c r="I6" s="105"/>
      <c r="J6" s="105"/>
      <c r="K6" s="105"/>
      <c r="L6" s="105"/>
      <c r="M6" s="105"/>
      <c r="N6" s="109"/>
      <c r="O6" s="105"/>
      <c r="P6" s="105"/>
      <c r="Q6" s="108"/>
      <c r="R6" s="105"/>
      <c r="S6" s="105"/>
      <c r="T6" s="105"/>
      <c r="U6" s="105"/>
      <c r="V6" s="105"/>
      <c r="W6" s="109"/>
      <c r="Z6" s="15"/>
      <c r="AA6" s="131"/>
      <c r="AB6" s="15"/>
      <c r="AC6" s="142"/>
      <c r="AD6" s="15"/>
      <c r="AE6" s="131"/>
    </row>
    <row r="7" spans="2:35" x14ac:dyDescent="0.25">
      <c r="B7" s="91">
        <v>11.85</v>
      </c>
      <c r="C7" s="105"/>
      <c r="D7" s="114">
        <f>D21</f>
        <v>19.175840563420966</v>
      </c>
      <c r="E7" s="102"/>
      <c r="F7" s="102"/>
      <c r="G7" s="162">
        <f>D21</f>
        <v>19.175840563420966</v>
      </c>
      <c r="H7" s="105"/>
      <c r="I7" s="105"/>
      <c r="J7" s="105"/>
      <c r="K7" s="105"/>
      <c r="L7" s="105"/>
      <c r="M7" s="105"/>
      <c r="N7" s="109"/>
      <c r="O7" s="105"/>
      <c r="P7" s="105"/>
      <c r="Q7" s="108"/>
      <c r="R7" s="105"/>
      <c r="S7" s="105"/>
      <c r="T7" s="105"/>
      <c r="U7" s="105"/>
      <c r="V7" s="105"/>
      <c r="W7" s="109"/>
      <c r="Z7" s="15"/>
      <c r="AA7" s="131">
        <f>D7+G7</f>
        <v>38.351681126841932</v>
      </c>
      <c r="AB7" s="15"/>
      <c r="AC7" s="142">
        <f>AA7*B7</f>
        <v>454.46742135307687</v>
      </c>
      <c r="AD7" s="15"/>
      <c r="AE7" s="131">
        <f>AA7*(B7^2)</f>
        <v>5385.4389430339606</v>
      </c>
    </row>
    <row r="8" spans="2:35" x14ac:dyDescent="0.25">
      <c r="B8" s="91"/>
      <c r="C8" s="105"/>
      <c r="D8" s="108"/>
      <c r="E8" s="105"/>
      <c r="F8" s="105"/>
      <c r="G8" s="105"/>
      <c r="H8" s="105"/>
      <c r="I8" s="105"/>
      <c r="J8" s="105"/>
      <c r="K8" s="105"/>
      <c r="L8" s="105"/>
      <c r="M8" s="105"/>
      <c r="N8" s="109">
        <v>13</v>
      </c>
      <c r="O8" s="105"/>
      <c r="P8" s="105"/>
      <c r="Q8" s="108"/>
      <c r="R8" s="105"/>
      <c r="S8" s="105"/>
      <c r="T8" s="105"/>
      <c r="U8" s="105"/>
      <c r="V8" s="105"/>
      <c r="W8" s="109"/>
      <c r="Z8" s="15"/>
      <c r="AA8" s="131"/>
      <c r="AB8" s="15"/>
      <c r="AC8" s="142"/>
      <c r="AD8" s="15"/>
      <c r="AE8" s="131"/>
    </row>
    <row r="9" spans="2:35" x14ac:dyDescent="0.25">
      <c r="B9" s="91">
        <v>10.1</v>
      </c>
      <c r="C9" s="105"/>
      <c r="D9" s="108"/>
      <c r="E9" s="105"/>
      <c r="F9" s="105"/>
      <c r="G9" s="105"/>
      <c r="H9" s="105"/>
      <c r="I9" s="105"/>
      <c r="J9" s="105"/>
      <c r="K9" s="124">
        <f>T17</f>
        <v>3.5852091840472422</v>
      </c>
      <c r="L9" s="105"/>
      <c r="M9" s="105"/>
      <c r="N9" s="122">
        <f>rigidezze!F6</f>
        <v>10.300838347113535</v>
      </c>
      <c r="O9" s="102"/>
      <c r="P9" s="103"/>
      <c r="Q9" s="167">
        <f>N9</f>
        <v>10.300838347113535</v>
      </c>
      <c r="R9" s="105"/>
      <c r="S9" s="105"/>
      <c r="T9" s="124">
        <f>T17</f>
        <v>3.5852091840472422</v>
      </c>
      <c r="U9" s="105"/>
      <c r="V9" s="105"/>
      <c r="W9" s="127">
        <f>D14</f>
        <v>1.9888322574175896</v>
      </c>
      <c r="Z9" s="15"/>
      <c r="AA9" s="138">
        <f>K9+N9+Q9+T9+W9</f>
        <v>29.760927319739142</v>
      </c>
      <c r="AB9" s="15"/>
      <c r="AC9" s="142">
        <f>AA9*B9</f>
        <v>300.58536592936531</v>
      </c>
      <c r="AD9" s="15"/>
      <c r="AE9" s="131">
        <f>AA9*(X37^2)</f>
        <v>3035.9121958865899</v>
      </c>
    </row>
    <row r="10" spans="2:35" x14ac:dyDescent="0.25">
      <c r="B10" s="91"/>
      <c r="C10" s="105"/>
      <c r="D10" s="108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9"/>
      <c r="Z10" s="15"/>
      <c r="AA10" s="131"/>
      <c r="AB10" s="15"/>
      <c r="AC10" s="142"/>
      <c r="AD10" s="15"/>
      <c r="AE10" s="131"/>
    </row>
    <row r="11" spans="2:35" x14ac:dyDescent="0.25">
      <c r="B11" s="91"/>
      <c r="C11" s="105"/>
      <c r="D11" s="108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9"/>
      <c r="Z11" s="15"/>
      <c r="AA11" s="131"/>
      <c r="AB11" s="15"/>
      <c r="AC11" s="142"/>
      <c r="AD11" s="15"/>
      <c r="AE11" s="131"/>
    </row>
    <row r="12" spans="2:35" x14ac:dyDescent="0.25">
      <c r="B12" s="91"/>
      <c r="C12" s="105"/>
      <c r="D12" s="108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9"/>
      <c r="Z12" s="15"/>
      <c r="AA12" s="131"/>
      <c r="AB12" s="15"/>
      <c r="AC12" s="142"/>
      <c r="AD12" s="15"/>
      <c r="AE12" s="131"/>
    </row>
    <row r="13" spans="2:35" x14ac:dyDescent="0.25">
      <c r="B13" s="91"/>
      <c r="C13" s="105"/>
      <c r="D13" s="108">
        <v>2</v>
      </c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9"/>
      <c r="Z13" s="15"/>
      <c r="AA13" s="131"/>
      <c r="AB13" s="15"/>
      <c r="AC13" s="142"/>
      <c r="AD13" s="15"/>
      <c r="AE13" s="131"/>
    </row>
    <row r="14" spans="2:35" x14ac:dyDescent="0.25">
      <c r="B14" s="91">
        <v>6.39</v>
      </c>
      <c r="C14" s="105"/>
      <c r="D14" s="126">
        <f>rigidezze!G7</f>
        <v>1.9888322574175896</v>
      </c>
      <c r="E14" s="105"/>
      <c r="F14" s="105"/>
      <c r="G14" s="124">
        <f>T17</f>
        <v>3.5852091840472422</v>
      </c>
      <c r="H14" s="105"/>
      <c r="I14" s="105"/>
      <c r="J14" s="105"/>
      <c r="K14" s="125">
        <f>D14</f>
        <v>1.9888322574175896</v>
      </c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9"/>
      <c r="Z14" s="15"/>
      <c r="AA14" s="138">
        <f>D14+G14+K14</f>
        <v>7.5628736988824219</v>
      </c>
      <c r="AB14" s="15"/>
      <c r="AC14" s="142">
        <f>AA14*B14</f>
        <v>48.326762935858675</v>
      </c>
      <c r="AD14" s="15"/>
      <c r="AE14" s="131">
        <f>AA14*(B14^2)</f>
        <v>308.8080151601369</v>
      </c>
    </row>
    <row r="15" spans="2:35" x14ac:dyDescent="0.25">
      <c r="B15" s="91"/>
      <c r="C15" s="105"/>
      <c r="D15" s="108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9"/>
      <c r="Z15" s="15"/>
      <c r="AA15" s="131"/>
      <c r="AB15" s="15"/>
      <c r="AC15" s="142"/>
      <c r="AD15" s="15"/>
      <c r="AE15" s="131"/>
    </row>
    <row r="16" spans="2:35" x14ac:dyDescent="0.25">
      <c r="B16" s="91"/>
      <c r="C16" s="105"/>
      <c r="D16" s="108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>
        <v>22</v>
      </c>
      <c r="U16" s="105"/>
      <c r="V16" s="105"/>
      <c r="W16" s="109"/>
      <c r="Z16" s="15"/>
      <c r="AA16" s="131"/>
      <c r="AB16" s="15"/>
      <c r="AC16" s="142"/>
      <c r="AD16" s="15"/>
      <c r="AE16" s="131"/>
    </row>
    <row r="17" spans="2:31" x14ac:dyDescent="0.25">
      <c r="B17" s="91">
        <v>5.0999999999999996</v>
      </c>
      <c r="C17" s="105"/>
      <c r="D17" s="108"/>
      <c r="E17" s="105"/>
      <c r="F17" s="105"/>
      <c r="G17" s="105"/>
      <c r="H17" s="105"/>
      <c r="I17" s="105"/>
      <c r="J17" s="105"/>
      <c r="K17" s="105"/>
      <c r="L17" s="105"/>
      <c r="M17" s="105"/>
      <c r="N17" s="112">
        <f>D21</f>
        <v>19.175840563420966</v>
      </c>
      <c r="O17" s="105"/>
      <c r="P17" s="105"/>
      <c r="Q17" s="122">
        <f>Q9</f>
        <v>10.300838347113535</v>
      </c>
      <c r="R17" s="105"/>
      <c r="S17" s="105"/>
      <c r="T17" s="124">
        <f>rigidezze!G6</f>
        <v>3.5852091840472422</v>
      </c>
      <c r="U17" s="105"/>
      <c r="V17" s="105"/>
      <c r="W17" s="127">
        <f>D14</f>
        <v>1.9888322574175896</v>
      </c>
      <c r="Z17" s="15"/>
      <c r="AA17" s="138">
        <f>N17+Q17+T17+W17</f>
        <v>35.050720351999338</v>
      </c>
      <c r="AB17" s="15"/>
      <c r="AC17" s="142">
        <f>AA17*B17</f>
        <v>178.75867379519661</v>
      </c>
      <c r="AD17" s="15"/>
      <c r="AE17" s="131">
        <f>AA17*(X45^2)</f>
        <v>911.66923635550268</v>
      </c>
    </row>
    <row r="18" spans="2:31" x14ac:dyDescent="0.25">
      <c r="B18" s="91"/>
      <c r="C18" s="105"/>
      <c r="D18" s="108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9"/>
      <c r="Z18" s="15"/>
      <c r="AA18" s="131"/>
      <c r="AB18" s="15"/>
      <c r="AC18" s="142"/>
      <c r="AD18" s="15"/>
      <c r="AE18" s="131"/>
    </row>
    <row r="19" spans="2:31" x14ac:dyDescent="0.25">
      <c r="B19" s="91"/>
      <c r="C19" s="105"/>
      <c r="D19" s="108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9"/>
      <c r="Z19" s="15"/>
      <c r="AA19" s="131"/>
      <c r="AB19" s="15"/>
      <c r="AC19" s="142"/>
      <c r="AD19" s="15"/>
      <c r="AE19" s="131"/>
    </row>
    <row r="20" spans="2:31" x14ac:dyDescent="0.25">
      <c r="B20" s="91"/>
      <c r="C20" s="105"/>
      <c r="D20" s="108">
        <v>3</v>
      </c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9"/>
      <c r="Z20" s="15"/>
      <c r="AA20" s="131"/>
      <c r="AB20" s="15"/>
      <c r="AC20" s="142"/>
      <c r="AD20" s="15"/>
      <c r="AE20" s="131"/>
    </row>
    <row r="21" spans="2:31" x14ac:dyDescent="0.25">
      <c r="B21" s="91">
        <v>2.75</v>
      </c>
      <c r="C21" s="105"/>
      <c r="D21" s="113">
        <f>rigidezze!F5</f>
        <v>19.175840563420966</v>
      </c>
      <c r="E21" s="104"/>
      <c r="F21" s="104"/>
      <c r="G21" s="163">
        <f>D21</f>
        <v>19.175840563420966</v>
      </c>
      <c r="H21" s="104"/>
      <c r="I21" s="104"/>
      <c r="J21" s="104"/>
      <c r="K21" s="128">
        <f>T17</f>
        <v>3.5852091840472422</v>
      </c>
      <c r="L21" s="104"/>
      <c r="M21" s="104"/>
      <c r="N21" s="105"/>
      <c r="O21" s="105"/>
      <c r="P21" s="105"/>
      <c r="Q21" s="105"/>
      <c r="R21" s="105"/>
      <c r="S21" s="105"/>
      <c r="T21" s="105"/>
      <c r="U21" s="105"/>
      <c r="V21" s="105"/>
      <c r="W21" s="109"/>
      <c r="Z21" s="15"/>
      <c r="AA21" s="138">
        <f>D21+G21+K21</f>
        <v>41.936890310889176</v>
      </c>
      <c r="AB21" s="15"/>
      <c r="AC21" s="142">
        <f>AA21*B21</f>
        <v>115.32644835494523</v>
      </c>
      <c r="AD21" s="15"/>
      <c r="AE21" s="131">
        <f>AA21*(B21^2)</f>
        <v>317.14773297609941</v>
      </c>
    </row>
    <row r="22" spans="2:31" x14ac:dyDescent="0.25">
      <c r="B22" s="91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8"/>
      <c r="O22" s="105"/>
      <c r="P22" s="105"/>
      <c r="Q22" s="105"/>
      <c r="R22" s="105"/>
      <c r="S22" s="105"/>
      <c r="T22" s="105"/>
      <c r="U22" s="105"/>
      <c r="V22" s="105"/>
      <c r="W22" s="109"/>
      <c r="Z22" s="15"/>
      <c r="AA22" s="131"/>
      <c r="AB22" s="15"/>
      <c r="AC22" s="142"/>
      <c r="AD22" s="15"/>
      <c r="AE22" s="131"/>
    </row>
    <row r="23" spans="2:31" x14ac:dyDescent="0.25">
      <c r="B23" s="91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8"/>
      <c r="O23" s="105"/>
      <c r="P23" s="105"/>
      <c r="Q23" s="105"/>
      <c r="R23" s="105"/>
      <c r="S23" s="105"/>
      <c r="T23" s="105"/>
      <c r="U23" s="105"/>
      <c r="V23" s="105"/>
      <c r="W23" s="109"/>
      <c r="Z23" s="15"/>
      <c r="AA23" s="131"/>
      <c r="AB23" s="15"/>
      <c r="AC23" s="142"/>
      <c r="AD23" s="15"/>
      <c r="AE23" s="131"/>
    </row>
    <row r="24" spans="2:31" x14ac:dyDescent="0.25">
      <c r="B24" s="91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8"/>
      <c r="O24" s="105"/>
      <c r="P24" s="105"/>
      <c r="Q24" s="105"/>
      <c r="R24" s="105"/>
      <c r="S24" s="105"/>
      <c r="T24" s="105"/>
      <c r="U24" s="105"/>
      <c r="V24" s="105"/>
      <c r="W24" s="109"/>
      <c r="Z24" s="15"/>
      <c r="AA24" s="131"/>
      <c r="AB24" s="15"/>
      <c r="AC24" s="142"/>
      <c r="AD24" s="15"/>
      <c r="AE24" s="131"/>
    </row>
    <row r="25" spans="2:31" x14ac:dyDescent="0.25">
      <c r="B25" s="91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8"/>
      <c r="O25" s="105"/>
      <c r="P25" s="105"/>
      <c r="Q25" s="105"/>
      <c r="R25" s="105"/>
      <c r="S25" s="105"/>
      <c r="T25" s="105">
        <v>23</v>
      </c>
      <c r="U25" s="105"/>
      <c r="V25" s="105"/>
      <c r="W25" s="109"/>
      <c r="Z25" s="15"/>
      <c r="AA25" s="131"/>
      <c r="AB25" s="15"/>
      <c r="AC25" s="142"/>
      <c r="AD25" s="15"/>
      <c r="AE25" s="131"/>
    </row>
    <row r="26" spans="2:31" x14ac:dyDescent="0.25">
      <c r="B26" s="91">
        <v>0.65</v>
      </c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13">
        <f>D21</f>
        <v>19.175840563420966</v>
      </c>
      <c r="O26" s="104"/>
      <c r="P26" s="104"/>
      <c r="Q26" s="111">
        <f>T26</f>
        <v>32.124220207247788</v>
      </c>
      <c r="R26" s="104"/>
      <c r="S26" s="104"/>
      <c r="T26" s="111">
        <f>rigidezze!E5</f>
        <v>32.124220207247788</v>
      </c>
      <c r="U26" s="104"/>
      <c r="V26" s="104"/>
      <c r="W26" s="166">
        <f>N26</f>
        <v>19.175840563420966</v>
      </c>
      <c r="Z26" s="15"/>
      <c r="AA26" s="138">
        <f>N26+Q26+T26+W26</f>
        <v>102.6001215413375</v>
      </c>
      <c r="AB26" s="15"/>
      <c r="AC26" s="142">
        <f>AA26*B26</f>
        <v>66.690079001869378</v>
      </c>
      <c r="AD26" s="15"/>
      <c r="AE26" s="131">
        <f>AA26*(X54^2)</f>
        <v>43.3485513512151</v>
      </c>
    </row>
    <row r="27" spans="2:31" x14ac:dyDescent="0.25"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Z27" s="15"/>
      <c r="AA27" s="140"/>
      <c r="AB27" s="140"/>
      <c r="AC27" s="143"/>
      <c r="AD27" s="140"/>
      <c r="AE27" s="141"/>
    </row>
    <row r="28" spans="2:31" x14ac:dyDescent="0.25">
      <c r="B28" s="105" t="s">
        <v>257</v>
      </c>
      <c r="C28" s="105" t="s">
        <v>258</v>
      </c>
      <c r="D28">
        <v>0.85</v>
      </c>
      <c r="F28" s="105"/>
      <c r="G28" s="105">
        <v>4.7</v>
      </c>
      <c r="H28" s="105"/>
      <c r="I28" s="105"/>
      <c r="J28" s="105"/>
      <c r="K28" s="105">
        <v>9.1999999999999993</v>
      </c>
      <c r="L28" s="105"/>
      <c r="M28" s="105"/>
      <c r="N28" s="105">
        <v>13.5</v>
      </c>
      <c r="O28" s="105"/>
      <c r="P28" s="105"/>
      <c r="Q28" s="105">
        <v>17.7</v>
      </c>
      <c r="R28" s="105"/>
      <c r="S28" s="105"/>
      <c r="T28" s="105">
        <v>22.34</v>
      </c>
      <c r="U28" s="105"/>
      <c r="V28" s="105"/>
      <c r="W28" s="105">
        <v>26.6</v>
      </c>
      <c r="Z28" s="132" t="s">
        <v>225</v>
      </c>
      <c r="AA28" s="139">
        <f>AA2+AA7+AA9+AA14+AA17+AA21+AA26</f>
        <v>331.96657660337337</v>
      </c>
      <c r="AB28" s="15"/>
      <c r="AC28" s="142">
        <f>AC2+AC7+AC9+AC14+AC17+AC21+AC26</f>
        <v>2234.1666548092016</v>
      </c>
      <c r="AD28" s="15"/>
      <c r="AE28" s="131">
        <f>AE2+AE7+AE9+AE14+AE17+AE21+AE26</f>
        <v>24928.990727736018</v>
      </c>
    </row>
    <row r="29" spans="2:31" x14ac:dyDescent="0.25">
      <c r="C29" s="105"/>
      <c r="D29" s="105"/>
      <c r="E29" s="105"/>
      <c r="F29" s="105"/>
      <c r="G29" s="105">
        <v>4</v>
      </c>
      <c r="H29" s="105"/>
      <c r="I29" s="105"/>
      <c r="J29" s="105"/>
      <c r="K29" s="105">
        <v>8</v>
      </c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Z29" s="13"/>
      <c r="AA29" s="13"/>
      <c r="AB29" s="13"/>
      <c r="AC29" s="13"/>
      <c r="AD29" s="13"/>
      <c r="AE29" s="13"/>
    </row>
    <row r="30" spans="2:31" x14ac:dyDescent="0.25">
      <c r="B30" s="91">
        <v>13.95</v>
      </c>
      <c r="D30" s="105"/>
      <c r="E30" s="105"/>
      <c r="F30" s="105"/>
      <c r="G30" s="130">
        <f>rigidezze!G13</f>
        <v>2.8068958138180466</v>
      </c>
      <c r="H30" s="102"/>
      <c r="I30" s="102"/>
      <c r="J30" s="102"/>
      <c r="K30" s="129">
        <f>rigidezze!F13</f>
        <v>10.031283698777857</v>
      </c>
      <c r="L30" s="102"/>
      <c r="M30" s="102"/>
      <c r="N30" s="106"/>
      <c r="O30" s="105"/>
      <c r="P30" s="105"/>
      <c r="Q30" s="107"/>
      <c r="R30" s="102"/>
      <c r="S30" s="102"/>
      <c r="T30" s="129">
        <f>K30</f>
        <v>10.031283698777857</v>
      </c>
      <c r="U30" s="102"/>
      <c r="V30" s="102"/>
      <c r="W30" s="176">
        <f>K30</f>
        <v>10.031283698777857</v>
      </c>
      <c r="X30" s="91">
        <v>13.95</v>
      </c>
      <c r="Z30" s="13"/>
      <c r="AA30" s="13"/>
      <c r="AB30" s="13"/>
      <c r="AC30" s="13"/>
      <c r="AD30" s="13"/>
      <c r="AE30" s="13"/>
    </row>
    <row r="31" spans="2:31" x14ac:dyDescent="0.25">
      <c r="D31" s="105"/>
      <c r="E31" s="105"/>
      <c r="F31" s="105"/>
      <c r="G31" s="108"/>
      <c r="H31" s="105"/>
      <c r="I31" s="105"/>
      <c r="J31" s="105"/>
      <c r="K31" s="105"/>
      <c r="L31" s="105"/>
      <c r="M31" s="105"/>
      <c r="N31" s="109"/>
      <c r="O31" s="105"/>
      <c r="P31" s="105"/>
      <c r="Q31" s="108"/>
      <c r="R31" s="105"/>
      <c r="S31" s="105"/>
      <c r="T31" s="105"/>
      <c r="U31" s="105"/>
      <c r="V31" s="105"/>
      <c r="W31" s="109"/>
      <c r="X31" s="91"/>
    </row>
    <row r="32" spans="2:31" x14ac:dyDescent="0.25">
      <c r="D32" s="105"/>
      <c r="E32" s="105"/>
      <c r="F32" s="105"/>
      <c r="G32" s="108"/>
      <c r="H32" s="105"/>
      <c r="I32" s="105"/>
      <c r="J32" s="105"/>
      <c r="K32" s="105"/>
      <c r="L32" s="105"/>
      <c r="M32" s="105"/>
      <c r="N32" s="109"/>
      <c r="O32" s="105"/>
      <c r="P32" s="105"/>
      <c r="Q32" s="108"/>
      <c r="R32" s="105"/>
      <c r="S32" s="105"/>
      <c r="T32" s="105"/>
      <c r="U32" s="105"/>
      <c r="V32" s="105"/>
      <c r="W32" s="109"/>
      <c r="X32" s="91"/>
    </row>
    <row r="33" spans="2:24" x14ac:dyDescent="0.25">
      <c r="D33" s="105"/>
      <c r="E33" s="105"/>
      <c r="F33" s="105"/>
      <c r="G33" s="108"/>
      <c r="H33" s="105"/>
      <c r="I33" s="105"/>
      <c r="J33" s="105"/>
      <c r="K33" s="105"/>
      <c r="L33" s="105"/>
      <c r="M33" s="105"/>
      <c r="N33" s="109"/>
      <c r="O33" s="105"/>
      <c r="P33" s="105"/>
      <c r="Q33" s="108"/>
      <c r="R33" s="105"/>
      <c r="S33" s="105"/>
      <c r="T33" s="105"/>
      <c r="U33" s="105"/>
      <c r="V33" s="105"/>
      <c r="W33" s="109"/>
      <c r="X33" s="91"/>
    </row>
    <row r="34" spans="2:24" x14ac:dyDescent="0.25">
      <c r="D34" s="105"/>
      <c r="E34" s="105"/>
      <c r="F34" s="105"/>
      <c r="G34" s="108"/>
      <c r="H34" s="105"/>
      <c r="I34" s="105"/>
      <c r="J34" s="105"/>
      <c r="K34" s="105"/>
      <c r="L34" s="105"/>
      <c r="M34" s="105"/>
      <c r="N34" s="109"/>
      <c r="O34" s="105"/>
      <c r="P34" s="105"/>
      <c r="Q34" s="108"/>
      <c r="R34" s="105"/>
      <c r="S34" s="105"/>
      <c r="T34" s="105"/>
      <c r="U34" s="105"/>
      <c r="V34" s="105"/>
      <c r="W34" s="109"/>
      <c r="X34" s="91"/>
    </row>
    <row r="35" spans="2:24" x14ac:dyDescent="0.25">
      <c r="B35" s="91">
        <v>11.85</v>
      </c>
      <c r="D35" s="172">
        <f>G35</f>
        <v>10.031283698777857</v>
      </c>
      <c r="E35" s="102"/>
      <c r="F35" s="102"/>
      <c r="G35" s="171">
        <f>K30</f>
        <v>10.031283698777857</v>
      </c>
      <c r="H35" s="105"/>
      <c r="I35" s="105"/>
      <c r="J35" s="105"/>
      <c r="K35" s="105"/>
      <c r="L35" s="105"/>
      <c r="M35" s="105"/>
      <c r="N35" s="109"/>
      <c r="O35" s="105"/>
      <c r="P35" s="105"/>
      <c r="Q35" s="108"/>
      <c r="R35" s="105"/>
      <c r="S35" s="105"/>
      <c r="T35" s="105"/>
      <c r="U35" s="105"/>
      <c r="V35" s="105"/>
      <c r="W35" s="109"/>
      <c r="X35" s="91"/>
    </row>
    <row r="36" spans="2:24" x14ac:dyDescent="0.25">
      <c r="D36" s="108"/>
      <c r="E36" s="105"/>
      <c r="F36" s="105"/>
      <c r="G36" s="105"/>
      <c r="H36" s="105"/>
      <c r="I36" s="105"/>
      <c r="J36" s="105"/>
      <c r="K36" s="105"/>
      <c r="L36" s="105"/>
      <c r="M36" s="105"/>
      <c r="N36" s="109">
        <v>13</v>
      </c>
      <c r="O36" s="105"/>
      <c r="P36" s="105"/>
      <c r="Q36" s="108"/>
      <c r="R36" s="105"/>
      <c r="S36" s="105"/>
      <c r="T36" s="105"/>
      <c r="U36" s="105"/>
      <c r="V36" s="105"/>
      <c r="W36" s="109"/>
      <c r="X36" s="91"/>
    </row>
    <row r="37" spans="2:24" x14ac:dyDescent="0.25">
      <c r="D37" s="108"/>
      <c r="E37" s="105"/>
      <c r="F37" s="105"/>
      <c r="G37" s="105"/>
      <c r="H37" s="105"/>
      <c r="I37" s="105"/>
      <c r="J37" s="105"/>
      <c r="K37" s="110">
        <f>G42</f>
        <v>30.832326920475296</v>
      </c>
      <c r="L37" s="105"/>
      <c r="M37" s="105"/>
      <c r="N37" s="112">
        <f>rigidezze!F12</f>
        <v>18.262300425358582</v>
      </c>
      <c r="O37" s="102"/>
      <c r="P37" s="103"/>
      <c r="Q37" s="177">
        <f>N37</f>
        <v>18.262300425358582</v>
      </c>
      <c r="R37" s="105"/>
      <c r="S37" s="105"/>
      <c r="T37" s="110">
        <f>G42</f>
        <v>30.832326920475296</v>
      </c>
      <c r="U37" s="105"/>
      <c r="V37" s="105"/>
      <c r="W37" s="169">
        <f>G42</f>
        <v>30.832326920475296</v>
      </c>
      <c r="X37" s="91">
        <v>10.1</v>
      </c>
    </row>
    <row r="38" spans="2:24" x14ac:dyDescent="0.25">
      <c r="D38" s="108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9"/>
      <c r="X38" s="91"/>
    </row>
    <row r="39" spans="2:24" x14ac:dyDescent="0.25">
      <c r="D39" s="108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9"/>
      <c r="X39" s="91"/>
    </row>
    <row r="40" spans="2:24" x14ac:dyDescent="0.25">
      <c r="D40" s="108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9"/>
      <c r="X40" s="91"/>
    </row>
    <row r="41" spans="2:24" x14ac:dyDescent="0.25">
      <c r="D41" s="108"/>
      <c r="E41" s="105"/>
      <c r="F41" s="105"/>
      <c r="G41" s="105">
        <v>6</v>
      </c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9"/>
      <c r="X41" s="91"/>
    </row>
    <row r="42" spans="2:24" x14ac:dyDescent="0.25">
      <c r="B42" s="91">
        <v>6.39</v>
      </c>
      <c r="D42" s="168">
        <f>G42</f>
        <v>30.832326920475296</v>
      </c>
      <c r="E42" s="105"/>
      <c r="F42" s="105"/>
      <c r="G42" s="110">
        <f>rigidezze!E12</f>
        <v>30.832326920475296</v>
      </c>
      <c r="H42" s="105"/>
      <c r="I42" s="105"/>
      <c r="J42" s="105"/>
      <c r="K42" s="110">
        <f>G42</f>
        <v>30.832326920475296</v>
      </c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9"/>
      <c r="X42" s="91"/>
    </row>
    <row r="43" spans="2:24" x14ac:dyDescent="0.25">
      <c r="D43" s="108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9"/>
      <c r="X43" s="91"/>
    </row>
    <row r="44" spans="2:24" x14ac:dyDescent="0.25">
      <c r="D44" s="108"/>
      <c r="E44" s="105"/>
      <c r="F44" s="105"/>
      <c r="G44" s="105"/>
      <c r="H44" s="105"/>
      <c r="I44" s="105"/>
      <c r="J44" s="105"/>
      <c r="K44" s="105"/>
      <c r="L44" s="105"/>
      <c r="M44" s="105"/>
      <c r="N44" s="105">
        <v>14</v>
      </c>
      <c r="O44" s="105"/>
      <c r="P44" s="105"/>
      <c r="Q44" s="105"/>
      <c r="R44" s="105"/>
      <c r="S44" s="105"/>
      <c r="T44" s="105"/>
      <c r="U44" s="105"/>
      <c r="V44" s="105"/>
      <c r="W44" s="109"/>
      <c r="X44" s="91"/>
    </row>
    <row r="45" spans="2:24" x14ac:dyDescent="0.25">
      <c r="D45" s="108"/>
      <c r="E45" s="105"/>
      <c r="F45" s="105"/>
      <c r="G45" s="105"/>
      <c r="H45" s="105"/>
      <c r="I45" s="105"/>
      <c r="J45" s="105"/>
      <c r="K45" s="105"/>
      <c r="L45" s="105"/>
      <c r="M45" s="105"/>
      <c r="N45" s="123">
        <f>rigidezze!E13</f>
        <v>12.925906090782766</v>
      </c>
      <c r="O45" s="105"/>
      <c r="P45" s="105"/>
      <c r="Q45" s="110">
        <f>K42</f>
        <v>30.832326920475296</v>
      </c>
      <c r="R45" s="105"/>
      <c r="S45" s="105"/>
      <c r="T45" s="110">
        <f>G42</f>
        <v>30.832326920475296</v>
      </c>
      <c r="U45" s="105"/>
      <c r="V45" s="105"/>
      <c r="W45" s="170">
        <f>G42</f>
        <v>30.832326920475296</v>
      </c>
      <c r="X45" s="91">
        <v>5.0999999999999996</v>
      </c>
    </row>
    <row r="46" spans="2:24" x14ac:dyDescent="0.25">
      <c r="D46" s="108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9"/>
      <c r="X46" s="91"/>
    </row>
    <row r="47" spans="2:24" x14ac:dyDescent="0.25">
      <c r="D47" s="108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9"/>
      <c r="X47" s="91"/>
    </row>
    <row r="48" spans="2:24" x14ac:dyDescent="0.25">
      <c r="D48" s="108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9"/>
      <c r="X48" s="91"/>
    </row>
    <row r="49" spans="1:30" x14ac:dyDescent="0.25">
      <c r="B49" s="91">
        <v>2.75</v>
      </c>
      <c r="D49" s="173">
        <f>K30</f>
        <v>10.031283698777857</v>
      </c>
      <c r="E49" s="104"/>
      <c r="F49" s="104"/>
      <c r="G49" s="174">
        <f>K30</f>
        <v>10.031283698777857</v>
      </c>
      <c r="H49" s="104"/>
      <c r="I49" s="104"/>
      <c r="J49" s="104"/>
      <c r="K49" s="163">
        <f>N37</f>
        <v>18.262300425358582</v>
      </c>
      <c r="L49" s="104"/>
      <c r="M49" s="104"/>
      <c r="N49" s="105"/>
      <c r="O49" s="105"/>
      <c r="P49" s="105"/>
      <c r="Q49" s="105"/>
      <c r="R49" s="105"/>
      <c r="S49" s="105"/>
      <c r="T49" s="105"/>
      <c r="U49" s="105"/>
      <c r="V49" s="105"/>
      <c r="W49" s="109"/>
      <c r="X49" s="91"/>
    </row>
    <row r="50" spans="1:30" x14ac:dyDescent="0.25"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8"/>
      <c r="O50" s="105"/>
      <c r="P50" s="105"/>
      <c r="Q50" s="105"/>
      <c r="R50" s="105"/>
      <c r="S50" s="105"/>
      <c r="T50" s="105"/>
      <c r="U50" s="105"/>
      <c r="V50" s="105"/>
      <c r="W50" s="109"/>
      <c r="X50" s="91"/>
    </row>
    <row r="51" spans="1:30" x14ac:dyDescent="0.25"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8"/>
      <c r="O51" s="105"/>
      <c r="P51" s="105"/>
      <c r="Q51" s="105"/>
      <c r="R51" s="105"/>
      <c r="S51" s="105"/>
      <c r="T51" s="105"/>
      <c r="U51" s="105"/>
      <c r="V51" s="105"/>
      <c r="W51" s="109"/>
      <c r="X51" s="91"/>
    </row>
    <row r="52" spans="1:30" x14ac:dyDescent="0.25"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8"/>
      <c r="O52" s="105"/>
      <c r="P52" s="105"/>
      <c r="Q52" s="105"/>
      <c r="R52" s="105"/>
      <c r="S52" s="105"/>
      <c r="T52" s="105"/>
      <c r="U52" s="105"/>
      <c r="V52" s="105"/>
      <c r="W52" s="109"/>
      <c r="X52" s="91"/>
    </row>
    <row r="53" spans="1:30" x14ac:dyDescent="0.25"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8"/>
      <c r="O53" s="105"/>
      <c r="P53" s="105"/>
      <c r="Q53" s="105"/>
      <c r="R53" s="105"/>
      <c r="S53" s="105"/>
      <c r="T53" s="105"/>
      <c r="U53" s="105"/>
      <c r="V53" s="105"/>
      <c r="W53" s="109"/>
      <c r="X53" s="91"/>
    </row>
    <row r="54" spans="1:30" x14ac:dyDescent="0.25"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73">
        <f>K30</f>
        <v>10.031283698777857</v>
      </c>
      <c r="O54" s="104"/>
      <c r="P54" s="104"/>
      <c r="Q54" s="174">
        <f>N54</f>
        <v>10.031283698777857</v>
      </c>
      <c r="R54" s="104"/>
      <c r="S54" s="104"/>
      <c r="T54" s="174">
        <f>K30</f>
        <v>10.031283698777857</v>
      </c>
      <c r="U54" s="104"/>
      <c r="V54" s="104"/>
      <c r="W54" s="175">
        <f>K30</f>
        <v>10.031283698777857</v>
      </c>
      <c r="X54" s="91">
        <v>0.65</v>
      </c>
    </row>
    <row r="55" spans="1:30" x14ac:dyDescent="0.25">
      <c r="Z55" s="120" t="s">
        <v>225</v>
      </c>
      <c r="AB55" s="133" t="s">
        <v>264</v>
      </c>
      <c r="AD55" s="105" t="s">
        <v>286</v>
      </c>
    </row>
    <row r="56" spans="1:30" x14ac:dyDescent="0.25">
      <c r="A56" s="132" t="s">
        <v>263</v>
      </c>
      <c r="B56" s="15"/>
      <c r="C56" s="15"/>
      <c r="D56" s="138">
        <f>D35+D42+D49</f>
        <v>50.894894318031007</v>
      </c>
      <c r="E56" s="138"/>
      <c r="F56" s="138"/>
      <c r="G56" s="138">
        <f>G30+G35+G42+G49</f>
        <v>53.701790131849052</v>
      </c>
      <c r="H56" s="138"/>
      <c r="I56" s="138"/>
      <c r="J56" s="138"/>
      <c r="K56" s="138">
        <f>K30+K37+K42+K49</f>
        <v>89.958237965087022</v>
      </c>
      <c r="L56" s="138"/>
      <c r="M56" s="138"/>
      <c r="N56" s="138">
        <f>N37+N45+N54</f>
        <v>41.219490214919205</v>
      </c>
      <c r="O56" s="138"/>
      <c r="P56" s="138"/>
      <c r="Q56" s="138">
        <f>Q37+Q45+Q54</f>
        <v>59.125911044611733</v>
      </c>
      <c r="R56" s="138"/>
      <c r="S56" s="138"/>
      <c r="T56" s="138">
        <f>T30+T37+T45+T54</f>
        <v>81.727221238506303</v>
      </c>
      <c r="U56" s="138"/>
      <c r="V56" s="138"/>
      <c r="W56" s="138">
        <f>W30+W37+W45+W54</f>
        <v>81.727221238506303</v>
      </c>
      <c r="X56" s="15"/>
      <c r="Y56" s="15"/>
      <c r="Z56" s="139">
        <f>D56+G56+K56+N56+Q56+T56+W56</f>
        <v>458.3547661515106</v>
      </c>
    </row>
    <row r="57" spans="1:30" x14ac:dyDescent="0.25">
      <c r="A57" s="15"/>
      <c r="B57" s="15"/>
      <c r="C57" s="15"/>
      <c r="D57" s="139"/>
      <c r="E57" s="139"/>
      <c r="F57" s="139"/>
      <c r="G57" s="139"/>
      <c r="H57" s="139"/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5"/>
      <c r="Y57" s="15"/>
      <c r="Z57" s="15"/>
      <c r="AB57" s="135">
        <f>Z58/Z56</f>
        <v>14.674215936153379</v>
      </c>
      <c r="AD57" s="134">
        <v>14.52</v>
      </c>
    </row>
    <row r="58" spans="1:30" x14ac:dyDescent="0.25">
      <c r="A58" s="132" t="s">
        <v>260</v>
      </c>
      <c r="B58" s="15"/>
      <c r="C58" s="15"/>
      <c r="D58" s="138">
        <f>D56*D28</f>
        <v>43.260660170326354</v>
      </c>
      <c r="E58" s="138"/>
      <c r="F58" s="138"/>
      <c r="G58" s="138">
        <f>G56*G28</f>
        <v>252.39841361969056</v>
      </c>
      <c r="H58" s="138"/>
      <c r="I58" s="138"/>
      <c r="J58" s="138"/>
      <c r="K58" s="138">
        <f>K56*K28</f>
        <v>827.61578927880055</v>
      </c>
      <c r="L58" s="138"/>
      <c r="M58" s="138"/>
      <c r="N58" s="138">
        <f>N56*N28</f>
        <v>556.4631179014093</v>
      </c>
      <c r="O58" s="138"/>
      <c r="P58" s="138"/>
      <c r="Q58" s="138">
        <f>Q56*Q28</f>
        <v>1046.5286254896275</v>
      </c>
      <c r="R58" s="138"/>
      <c r="S58" s="138"/>
      <c r="T58" s="138">
        <f>T56*T28</f>
        <v>1825.7861224682308</v>
      </c>
      <c r="U58" s="138"/>
      <c r="V58" s="138"/>
      <c r="W58" s="138">
        <f>W56*W28</f>
        <v>2173.9440849442676</v>
      </c>
      <c r="X58" s="15"/>
      <c r="Y58" s="15"/>
      <c r="Z58" s="139">
        <f>D58+G58+K58+N58+Q58+T58+W58</f>
        <v>6725.9968138723525</v>
      </c>
    </row>
    <row r="59" spans="1:30" x14ac:dyDescent="0.2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30" x14ac:dyDescent="0.25">
      <c r="A60" s="132" t="s">
        <v>261</v>
      </c>
      <c r="B60" s="15"/>
      <c r="C60" s="15"/>
      <c r="D60" s="15">
        <f>D56*(D28^2)</f>
        <v>36.771561144777401</v>
      </c>
      <c r="E60" s="15"/>
      <c r="F60" s="15"/>
      <c r="G60" s="15">
        <f>G56*(G28^2)</f>
        <v>1186.2725440125457</v>
      </c>
      <c r="H60" s="15"/>
      <c r="I60" s="15"/>
      <c r="J60" s="15"/>
      <c r="K60" s="15">
        <f>K56*(K28^2)</f>
        <v>7614.0652613649645</v>
      </c>
      <c r="L60" s="15"/>
      <c r="M60" s="15"/>
      <c r="N60" s="15">
        <f>N56*(N28^2)</f>
        <v>7512.2520916690246</v>
      </c>
      <c r="O60" s="15"/>
      <c r="P60" s="15"/>
      <c r="Q60" s="15">
        <f>Q56*(Q28^2)</f>
        <v>18523.556671166407</v>
      </c>
      <c r="R60" s="15"/>
      <c r="S60" s="15"/>
      <c r="T60" s="15">
        <f>T56*(T28^2)</f>
        <v>40788.061975940276</v>
      </c>
      <c r="U60" s="15"/>
      <c r="V60" s="15"/>
      <c r="W60" s="15">
        <f>W56*(W28^2)</f>
        <v>57826.912659517526</v>
      </c>
      <c r="X60" s="15"/>
      <c r="Y60" s="15"/>
      <c r="Z60" s="15">
        <f>D60+G60+K60+N60+Q60+T60+W60</f>
        <v>133487.89276481551</v>
      </c>
    </row>
    <row r="63" spans="1:30" x14ac:dyDescent="0.25">
      <c r="A63" s="212"/>
    </row>
    <row r="68" spans="1:2" x14ac:dyDescent="0.25">
      <c r="A68" s="93" t="s">
        <v>242</v>
      </c>
      <c r="B68" s="94"/>
    </row>
    <row r="69" spans="1:2" x14ac:dyDescent="0.25">
      <c r="A69" s="95" t="s">
        <v>243</v>
      </c>
      <c r="B69" s="96"/>
    </row>
    <row r="70" spans="1:2" x14ac:dyDescent="0.25">
      <c r="A70" s="95" t="s">
        <v>244</v>
      </c>
      <c r="B70" s="96"/>
    </row>
    <row r="71" spans="1:2" x14ac:dyDescent="0.25">
      <c r="A71" s="95" t="s">
        <v>245</v>
      </c>
      <c r="B71" s="96"/>
    </row>
    <row r="72" spans="1:2" x14ac:dyDescent="0.25">
      <c r="A72" s="97" t="s">
        <v>246</v>
      </c>
      <c r="B72" s="98"/>
    </row>
    <row r="73" spans="1:2" x14ac:dyDescent="0.25">
      <c r="A73" s="95" t="s">
        <v>247</v>
      </c>
      <c r="B73" s="99"/>
    </row>
    <row r="74" spans="1:2" x14ac:dyDescent="0.25">
      <c r="A74" s="95" t="s">
        <v>248</v>
      </c>
      <c r="B74" s="99"/>
    </row>
    <row r="75" spans="1:2" x14ac:dyDescent="0.25">
      <c r="A75" s="95" t="s">
        <v>249</v>
      </c>
      <c r="B75" s="99"/>
    </row>
    <row r="76" spans="1:2" x14ac:dyDescent="0.25">
      <c r="A76" s="95" t="s">
        <v>250</v>
      </c>
      <c r="B76" s="99"/>
    </row>
    <row r="77" spans="1:2" x14ac:dyDescent="0.25">
      <c r="A77" s="97" t="s">
        <v>251</v>
      </c>
      <c r="B77" s="100"/>
    </row>
  </sheetData>
  <mergeCells count="1">
    <mergeCell ref="Z1:A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2"/>
  <sheetViews>
    <sheetView topLeftCell="G1" zoomScale="70" zoomScaleNormal="70" workbookViewId="0">
      <selection activeCell="AD57" sqref="AD57"/>
    </sheetView>
  </sheetViews>
  <sheetFormatPr defaultRowHeight="15" x14ac:dyDescent="0.25"/>
  <cols>
    <col min="1" max="1" width="29.42578125" customWidth="1"/>
    <col min="27" max="27" width="9.140625" customWidth="1"/>
    <col min="28" max="28" width="10.140625" customWidth="1"/>
  </cols>
  <sheetData>
    <row r="1" spans="2:35" x14ac:dyDescent="0.25">
      <c r="B1" s="105" t="s">
        <v>257</v>
      </c>
      <c r="C1" s="105" t="s">
        <v>258</v>
      </c>
      <c r="D1">
        <v>0.85</v>
      </c>
      <c r="F1" s="105"/>
      <c r="G1" s="105">
        <v>4.7</v>
      </c>
      <c r="H1" s="105"/>
      <c r="I1" s="105"/>
      <c r="J1" s="105"/>
      <c r="K1" s="105">
        <v>9.1999999999999993</v>
      </c>
      <c r="L1" s="105"/>
      <c r="M1" s="105"/>
      <c r="N1" s="105">
        <v>13.5</v>
      </c>
      <c r="O1" s="105"/>
      <c r="P1" s="105"/>
      <c r="Q1" s="105">
        <v>17.7</v>
      </c>
      <c r="R1" s="105"/>
      <c r="S1" s="105"/>
      <c r="T1" s="105">
        <v>22.34</v>
      </c>
      <c r="U1" s="105"/>
      <c r="V1" s="105"/>
      <c r="W1" s="105">
        <v>26.6</v>
      </c>
      <c r="Z1" s="198" t="s">
        <v>259</v>
      </c>
      <c r="AA1" s="198"/>
      <c r="AB1" s="156"/>
      <c r="AC1" s="156" t="s">
        <v>260</v>
      </c>
      <c r="AD1" s="156"/>
      <c r="AE1" s="156" t="s">
        <v>261</v>
      </c>
      <c r="AG1" s="133" t="s">
        <v>262</v>
      </c>
      <c r="AI1" s="105" t="s">
        <v>289</v>
      </c>
    </row>
    <row r="2" spans="2:35" x14ac:dyDescent="0.25">
      <c r="B2" s="91">
        <v>13.95</v>
      </c>
      <c r="D2" s="105"/>
      <c r="E2" s="105"/>
      <c r="F2" s="105"/>
      <c r="G2" s="182">
        <f>D21</f>
        <v>30.123174952428801</v>
      </c>
      <c r="H2" s="102"/>
      <c r="I2" s="102"/>
      <c r="J2" s="102"/>
      <c r="K2" s="183">
        <f>D21</f>
        <v>30.123174952428801</v>
      </c>
      <c r="L2" s="102"/>
      <c r="M2" s="102"/>
      <c r="N2" s="106"/>
      <c r="O2" s="105"/>
      <c r="P2" s="105"/>
      <c r="Q2" s="107"/>
      <c r="R2" s="102"/>
      <c r="S2" s="102"/>
      <c r="T2" s="183">
        <f>D21</f>
        <v>30.123174952428801</v>
      </c>
      <c r="U2" s="102"/>
      <c r="V2" s="102"/>
      <c r="W2" s="184">
        <f>D21</f>
        <v>30.123174952428801</v>
      </c>
      <c r="Z2" s="156"/>
      <c r="AA2" s="156">
        <f>G2+K2+T2+W2</f>
        <v>120.49269980971521</v>
      </c>
      <c r="AB2" s="156"/>
      <c r="AC2" s="156">
        <f>AA2*B2</f>
        <v>1680.8731623455271</v>
      </c>
      <c r="AD2" s="156"/>
      <c r="AE2" s="156">
        <f>AA2*(X30^2)</f>
        <v>23448.180614720102</v>
      </c>
      <c r="AG2" s="133"/>
    </row>
    <row r="3" spans="2:35" x14ac:dyDescent="0.25">
      <c r="B3" s="91"/>
      <c r="D3" s="105"/>
      <c r="E3" s="105"/>
      <c r="F3" s="105"/>
      <c r="G3" s="108"/>
      <c r="H3" s="105"/>
      <c r="I3" s="105"/>
      <c r="J3" s="105"/>
      <c r="K3" s="105"/>
      <c r="L3" s="105"/>
      <c r="M3" s="105"/>
      <c r="N3" s="109"/>
      <c r="O3" s="105"/>
      <c r="P3" s="105"/>
      <c r="Q3" s="108"/>
      <c r="R3" s="105"/>
      <c r="S3" s="105"/>
      <c r="T3" s="105"/>
      <c r="U3" s="105"/>
      <c r="V3" s="105"/>
      <c r="W3" s="109"/>
      <c r="Z3" s="156"/>
      <c r="AA3" s="156"/>
      <c r="AB3" s="156"/>
      <c r="AC3" s="156"/>
      <c r="AD3" s="156"/>
      <c r="AE3" s="156"/>
      <c r="AG3" s="135">
        <f>AC28/AA28</f>
        <v>6.9773792749385244</v>
      </c>
      <c r="AI3" s="136">
        <v>7.42</v>
      </c>
    </row>
    <row r="4" spans="2:35" x14ac:dyDescent="0.25">
      <c r="B4" s="91"/>
      <c r="D4" s="105"/>
      <c r="E4" s="105"/>
      <c r="F4" s="105"/>
      <c r="G4" s="108"/>
      <c r="H4" s="105"/>
      <c r="I4" s="105"/>
      <c r="J4" s="105"/>
      <c r="K4" s="105"/>
      <c r="L4" s="105"/>
      <c r="M4" s="105"/>
      <c r="N4" s="109"/>
      <c r="O4" s="105"/>
      <c r="P4" s="105"/>
      <c r="Q4" s="108"/>
      <c r="R4" s="105"/>
      <c r="S4" s="105"/>
      <c r="T4" s="105"/>
      <c r="U4" s="105"/>
      <c r="V4" s="105"/>
      <c r="W4" s="109"/>
      <c r="Z4" s="156"/>
      <c r="AA4" s="156"/>
      <c r="AB4" s="156"/>
      <c r="AC4" s="156"/>
      <c r="AD4" s="156"/>
      <c r="AE4" s="156"/>
    </row>
    <row r="5" spans="2:35" x14ac:dyDescent="0.25">
      <c r="B5" s="91"/>
      <c r="D5" s="105"/>
      <c r="E5" s="105"/>
      <c r="F5" s="105"/>
      <c r="G5" s="108"/>
      <c r="H5" s="105"/>
      <c r="I5" s="105"/>
      <c r="J5" s="105"/>
      <c r="K5" s="105"/>
      <c r="L5" s="105"/>
      <c r="M5" s="105"/>
      <c r="N5" s="109"/>
      <c r="O5" s="105"/>
      <c r="P5" s="105"/>
      <c r="Q5" s="108"/>
      <c r="R5" s="105"/>
      <c r="S5" s="105"/>
      <c r="T5" s="105"/>
      <c r="U5" s="105"/>
      <c r="V5" s="105"/>
      <c r="W5" s="109"/>
      <c r="Z5" s="156"/>
      <c r="AA5" s="156"/>
      <c r="AB5" s="156"/>
      <c r="AC5" s="156"/>
      <c r="AD5" s="156"/>
      <c r="AE5" s="156"/>
    </row>
    <row r="6" spans="2:35" x14ac:dyDescent="0.25">
      <c r="B6" s="91"/>
      <c r="D6" s="105"/>
      <c r="E6" s="105"/>
      <c r="F6" s="105"/>
      <c r="G6" s="108"/>
      <c r="H6" s="105"/>
      <c r="I6" s="105"/>
      <c r="J6" s="105"/>
      <c r="K6" s="105"/>
      <c r="L6" s="105"/>
      <c r="M6" s="105"/>
      <c r="N6" s="109"/>
      <c r="O6" s="105"/>
      <c r="P6" s="105"/>
      <c r="Q6" s="108"/>
      <c r="R6" s="105"/>
      <c r="S6" s="105"/>
      <c r="T6" s="105"/>
      <c r="U6" s="105"/>
      <c r="V6" s="105"/>
      <c r="W6" s="109"/>
      <c r="Z6" s="156"/>
      <c r="AA6" s="156"/>
      <c r="AB6" s="156"/>
      <c r="AC6" s="156"/>
      <c r="AD6" s="156"/>
      <c r="AE6" s="156"/>
    </row>
    <row r="7" spans="2:35" x14ac:dyDescent="0.25">
      <c r="B7" s="91">
        <v>11.85</v>
      </c>
      <c r="D7" s="182">
        <f>D21</f>
        <v>30.123174952428801</v>
      </c>
      <c r="E7" s="102"/>
      <c r="F7" s="102"/>
      <c r="G7" s="181">
        <f>D21</f>
        <v>30.123174952428801</v>
      </c>
      <c r="H7" s="105"/>
      <c r="I7" s="105"/>
      <c r="J7" s="105"/>
      <c r="K7" s="105"/>
      <c r="L7" s="105"/>
      <c r="M7" s="105"/>
      <c r="N7" s="109"/>
      <c r="O7" s="105"/>
      <c r="P7" s="105"/>
      <c r="Q7" s="108"/>
      <c r="R7" s="105"/>
      <c r="S7" s="105"/>
      <c r="T7" s="105"/>
      <c r="U7" s="105"/>
      <c r="V7" s="105"/>
      <c r="W7" s="109"/>
      <c r="Z7" s="156"/>
      <c r="AA7" s="156">
        <f>D7+G7</f>
        <v>60.246349904857603</v>
      </c>
      <c r="AB7" s="156"/>
      <c r="AC7" s="156">
        <f>AA7*B7</f>
        <v>713.91924637256261</v>
      </c>
      <c r="AD7" s="156"/>
      <c r="AE7" s="156">
        <f>AA7*(B7^2)</f>
        <v>8459.9430695148658</v>
      </c>
    </row>
    <row r="8" spans="2:35" x14ac:dyDescent="0.25">
      <c r="B8" s="91"/>
      <c r="D8" s="108"/>
      <c r="E8" s="105"/>
      <c r="F8" s="105"/>
      <c r="G8" s="105"/>
      <c r="H8" s="105"/>
      <c r="I8" s="105"/>
      <c r="J8" s="105"/>
      <c r="K8" s="105"/>
      <c r="L8" s="105"/>
      <c r="M8" s="105"/>
      <c r="N8" s="109">
        <v>13</v>
      </c>
      <c r="O8" s="105"/>
      <c r="P8" s="105"/>
      <c r="Q8" s="108"/>
      <c r="R8" s="105"/>
      <c r="S8" s="105"/>
      <c r="T8" s="105"/>
      <c r="U8" s="105"/>
      <c r="V8" s="105"/>
      <c r="W8" s="109"/>
      <c r="Z8" s="156"/>
      <c r="AA8" s="156"/>
      <c r="AB8" s="156"/>
      <c r="AC8" s="156"/>
      <c r="AD8" s="156"/>
      <c r="AE8" s="156"/>
    </row>
    <row r="9" spans="2:35" x14ac:dyDescent="0.25">
      <c r="B9" s="91">
        <v>10.1</v>
      </c>
      <c r="D9" s="108"/>
      <c r="E9" s="105"/>
      <c r="F9" s="105"/>
      <c r="G9" s="105"/>
      <c r="H9" s="105"/>
      <c r="I9" s="105"/>
      <c r="J9" s="105"/>
      <c r="K9" s="148">
        <f>T17</f>
        <v>5.5734360701465597</v>
      </c>
      <c r="L9" s="105"/>
      <c r="M9" s="105"/>
      <c r="N9" s="112">
        <f>rigidezze!K6</f>
        <v>9.0583298961183534</v>
      </c>
      <c r="O9" s="102"/>
      <c r="P9" s="103"/>
      <c r="Q9" s="177">
        <f>N9</f>
        <v>9.0583298961183534</v>
      </c>
      <c r="R9" s="105"/>
      <c r="S9" s="105"/>
      <c r="T9" s="148">
        <f>T17</f>
        <v>5.5734360701465597</v>
      </c>
      <c r="U9" s="105"/>
      <c r="V9" s="105"/>
      <c r="W9" s="187">
        <f>D14</f>
        <v>4.4874313177713931</v>
      </c>
      <c r="Z9" s="156"/>
      <c r="AA9" s="156">
        <f>K9+N9+Q9+T9+W9</f>
        <v>33.750963250301218</v>
      </c>
      <c r="AB9" s="156"/>
      <c r="AC9" s="156">
        <f>AA9*B9</f>
        <v>340.88472882804228</v>
      </c>
      <c r="AD9" s="156"/>
      <c r="AE9" s="156">
        <f>AA9*(X37^2)</f>
        <v>3442.9357611632272</v>
      </c>
    </row>
    <row r="10" spans="2:35" x14ac:dyDescent="0.25">
      <c r="B10" s="91"/>
      <c r="D10" s="108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9"/>
      <c r="Z10" s="156"/>
      <c r="AA10" s="156"/>
      <c r="AB10" s="156"/>
      <c r="AC10" s="156"/>
      <c r="AD10" s="156"/>
      <c r="AE10" s="156"/>
    </row>
    <row r="11" spans="2:35" x14ac:dyDescent="0.25">
      <c r="B11" s="91"/>
      <c r="D11" s="108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9"/>
      <c r="Z11" s="156"/>
      <c r="AA11" s="156"/>
      <c r="AB11" s="156"/>
      <c r="AC11" s="156"/>
      <c r="AD11" s="156"/>
      <c r="AE11" s="156"/>
    </row>
    <row r="12" spans="2:35" x14ac:dyDescent="0.25">
      <c r="B12" s="91"/>
      <c r="D12" s="108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9"/>
      <c r="Z12" s="156"/>
      <c r="AA12" s="156"/>
      <c r="AB12" s="156"/>
      <c r="AC12" s="156"/>
      <c r="AD12" s="156"/>
      <c r="AE12" s="156"/>
    </row>
    <row r="13" spans="2:35" x14ac:dyDescent="0.25">
      <c r="B13" s="91"/>
      <c r="D13" s="108">
        <v>2</v>
      </c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9"/>
      <c r="Z13" s="156"/>
      <c r="AA13" s="156"/>
      <c r="AB13" s="156"/>
      <c r="AC13" s="156"/>
      <c r="AD13" s="156"/>
      <c r="AE13" s="156"/>
    </row>
    <row r="14" spans="2:35" x14ac:dyDescent="0.25">
      <c r="B14" s="91">
        <v>6.39</v>
      </c>
      <c r="D14" s="146">
        <f>rigidezze!L7</f>
        <v>4.4874313177713931</v>
      </c>
      <c r="E14" s="105"/>
      <c r="F14" s="105"/>
      <c r="G14" s="148">
        <f>T17</f>
        <v>5.5734360701465597</v>
      </c>
      <c r="H14" s="105"/>
      <c r="I14" s="105"/>
      <c r="J14" s="105"/>
      <c r="K14" s="147">
        <f>D14</f>
        <v>4.4874313177713931</v>
      </c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9"/>
      <c r="Z14" s="156"/>
      <c r="AA14" s="156">
        <f>D14+G14+K14</f>
        <v>14.548298705689344</v>
      </c>
      <c r="AB14" s="156"/>
      <c r="AC14" s="156">
        <f>AA14*B14</f>
        <v>92.963628729354909</v>
      </c>
      <c r="AD14" s="156"/>
      <c r="AE14" s="156">
        <f>AA14*(B14^2)</f>
        <v>594.03758758057779</v>
      </c>
    </row>
    <row r="15" spans="2:35" x14ac:dyDescent="0.25">
      <c r="B15" s="91"/>
      <c r="D15" s="108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9"/>
      <c r="Z15" s="156"/>
      <c r="AA15" s="156"/>
      <c r="AB15" s="156"/>
      <c r="AC15" s="156"/>
      <c r="AD15" s="156"/>
      <c r="AE15" s="156"/>
    </row>
    <row r="16" spans="2:35" x14ac:dyDescent="0.25">
      <c r="B16" s="91"/>
      <c r="D16" s="108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>
        <v>22</v>
      </c>
      <c r="U16" s="105"/>
      <c r="V16" s="105"/>
      <c r="W16" s="109"/>
      <c r="Z16" s="156"/>
      <c r="AA16" s="156"/>
      <c r="AB16" s="156"/>
      <c r="AC16" s="156"/>
      <c r="AD16" s="156"/>
      <c r="AE16" s="156"/>
    </row>
    <row r="17" spans="1:31" x14ac:dyDescent="0.25">
      <c r="B17" s="91">
        <v>5.0999999999999996</v>
      </c>
      <c r="D17" s="108"/>
      <c r="E17" s="105"/>
      <c r="F17" s="105"/>
      <c r="G17" s="105"/>
      <c r="H17" s="105"/>
      <c r="I17" s="105"/>
      <c r="J17" s="105"/>
      <c r="K17" s="105"/>
      <c r="L17" s="105"/>
      <c r="M17" s="105"/>
      <c r="N17" s="180">
        <f>D21</f>
        <v>30.123174952428801</v>
      </c>
      <c r="O17" s="105"/>
      <c r="P17" s="105"/>
      <c r="Q17" s="112">
        <f>N9</f>
        <v>9.0583298961183534</v>
      </c>
      <c r="R17" s="105"/>
      <c r="S17" s="105"/>
      <c r="T17" s="148">
        <f>rigidezze!L6</f>
        <v>5.5734360701465597</v>
      </c>
      <c r="U17" s="105"/>
      <c r="V17" s="105"/>
      <c r="W17" s="187">
        <f>D14</f>
        <v>4.4874313177713931</v>
      </c>
      <c r="Z17" s="156"/>
      <c r="AA17" s="156">
        <f>N17+Q17+T17+W17</f>
        <v>49.242372236465116</v>
      </c>
      <c r="AB17" s="156"/>
      <c r="AC17" s="156">
        <f>AA17*B17</f>
        <v>251.13609840597206</v>
      </c>
      <c r="AD17" s="156"/>
      <c r="AE17" s="156">
        <f>AA17*(X45^2)</f>
        <v>1280.7941018704576</v>
      </c>
    </row>
    <row r="18" spans="1:31" x14ac:dyDescent="0.25">
      <c r="B18" s="91"/>
      <c r="D18" s="108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9"/>
      <c r="Z18" s="156"/>
      <c r="AA18" s="156"/>
      <c r="AB18" s="156"/>
      <c r="AC18" s="156"/>
      <c r="AD18" s="156"/>
      <c r="AE18" s="156"/>
    </row>
    <row r="19" spans="1:31" x14ac:dyDescent="0.25">
      <c r="B19" s="91"/>
      <c r="D19" s="108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9"/>
      <c r="Z19" s="156"/>
      <c r="AA19" s="156"/>
      <c r="AB19" s="156"/>
      <c r="AC19" s="156"/>
      <c r="AD19" s="156"/>
      <c r="AE19" s="156"/>
    </row>
    <row r="20" spans="1:31" x14ac:dyDescent="0.25">
      <c r="B20" s="91"/>
      <c r="D20" s="108">
        <v>3</v>
      </c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9"/>
      <c r="Z20" s="156"/>
      <c r="AA20" s="156"/>
      <c r="AB20" s="156"/>
      <c r="AC20" s="156"/>
      <c r="AD20" s="156"/>
      <c r="AE20" s="156"/>
    </row>
    <row r="21" spans="1:31" x14ac:dyDescent="0.25">
      <c r="B21" s="91">
        <v>2.75</v>
      </c>
      <c r="D21" s="145">
        <f>rigidezze!K5</f>
        <v>30.123174952428801</v>
      </c>
      <c r="E21" s="104"/>
      <c r="F21" s="104"/>
      <c r="G21" s="179">
        <f>D21</f>
        <v>30.123174952428801</v>
      </c>
      <c r="H21" s="104"/>
      <c r="I21" s="104"/>
      <c r="J21" s="104"/>
      <c r="K21" s="186">
        <f>T17</f>
        <v>5.5734360701465597</v>
      </c>
      <c r="L21" s="104"/>
      <c r="M21" s="104"/>
      <c r="N21" s="105"/>
      <c r="O21" s="105"/>
      <c r="P21" s="105"/>
      <c r="Q21" s="105"/>
      <c r="R21" s="105"/>
      <c r="S21" s="105"/>
      <c r="T21" s="105"/>
      <c r="U21" s="105"/>
      <c r="V21" s="105"/>
      <c r="W21" s="109"/>
      <c r="Z21" s="156"/>
      <c r="AA21" s="156">
        <f>D21+G21+K21</f>
        <v>65.819785975004166</v>
      </c>
      <c r="AB21" s="156"/>
      <c r="AC21" s="156">
        <f>AA21*B21</f>
        <v>181.00441143126145</v>
      </c>
      <c r="AD21" s="156"/>
      <c r="AE21" s="156">
        <f>AA21*(B21^2)</f>
        <v>497.76213143596902</v>
      </c>
    </row>
    <row r="22" spans="1:31" x14ac:dyDescent="0.25">
      <c r="B22" s="91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8"/>
      <c r="O22" s="105"/>
      <c r="P22" s="105"/>
      <c r="Q22" s="105"/>
      <c r="R22" s="105"/>
      <c r="S22" s="105"/>
      <c r="T22" s="105"/>
      <c r="U22" s="105"/>
      <c r="V22" s="105"/>
      <c r="W22" s="109"/>
      <c r="Z22" s="156"/>
      <c r="AA22" s="156"/>
      <c r="AB22" s="156"/>
      <c r="AC22" s="156"/>
      <c r="AD22" s="156"/>
      <c r="AE22" s="156"/>
    </row>
    <row r="23" spans="1:31" x14ac:dyDescent="0.25">
      <c r="B23" s="91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8"/>
      <c r="O23" s="105"/>
      <c r="P23" s="105"/>
      <c r="Q23" s="105"/>
      <c r="R23" s="105"/>
      <c r="S23" s="105"/>
      <c r="T23" s="105"/>
      <c r="U23" s="105"/>
      <c r="V23" s="105"/>
      <c r="W23" s="109"/>
      <c r="Z23" s="156"/>
      <c r="AA23" s="156"/>
      <c r="AB23" s="156"/>
      <c r="AC23" s="156"/>
      <c r="AD23" s="156"/>
      <c r="AE23" s="156"/>
    </row>
    <row r="24" spans="1:31" x14ac:dyDescent="0.25">
      <c r="B24" s="91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8"/>
      <c r="O24" s="105"/>
      <c r="P24" s="105"/>
      <c r="Q24" s="105"/>
      <c r="R24" s="105"/>
      <c r="S24" s="105"/>
      <c r="T24" s="105"/>
      <c r="U24" s="105"/>
      <c r="V24" s="105"/>
      <c r="W24" s="109"/>
      <c r="Z24" s="156"/>
      <c r="AA24" s="156"/>
      <c r="AB24" s="156"/>
      <c r="AC24" s="156"/>
      <c r="AD24" s="156"/>
      <c r="AE24" s="156"/>
    </row>
    <row r="25" spans="1:31" x14ac:dyDescent="0.25">
      <c r="B25" s="91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8"/>
      <c r="O25" s="105"/>
      <c r="P25" s="105"/>
      <c r="Q25" s="105"/>
      <c r="R25" s="105"/>
      <c r="S25" s="105"/>
      <c r="T25" s="105">
        <v>23</v>
      </c>
      <c r="U25" s="105"/>
      <c r="V25" s="105"/>
      <c r="W25" s="109"/>
      <c r="Z25" s="156"/>
      <c r="AA25" s="156"/>
      <c r="AB25" s="156"/>
      <c r="AC25" s="156"/>
      <c r="AD25" s="156"/>
      <c r="AE25" s="156"/>
    </row>
    <row r="26" spans="1:31" x14ac:dyDescent="0.25">
      <c r="B26" s="91">
        <v>0.65</v>
      </c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45">
        <f>D21</f>
        <v>30.123174952428801</v>
      </c>
      <c r="O26" s="104"/>
      <c r="P26" s="104"/>
      <c r="Q26" s="144">
        <f>T26</f>
        <v>37.824529120484691</v>
      </c>
      <c r="R26" s="104"/>
      <c r="S26" s="104"/>
      <c r="T26" s="144">
        <f>rigidezze!J5</f>
        <v>37.824529120484691</v>
      </c>
      <c r="U26" s="104"/>
      <c r="V26" s="104"/>
      <c r="W26" s="185">
        <f>D21</f>
        <v>30.123174952428801</v>
      </c>
      <c r="Z26" s="156"/>
      <c r="AA26" s="156">
        <f>N26+Q26+T26+W26</f>
        <v>135.89540814582699</v>
      </c>
      <c r="AB26" s="156"/>
      <c r="AC26" s="156">
        <f>AA26*B26</f>
        <v>88.332015294787553</v>
      </c>
      <c r="AD26" s="156"/>
      <c r="AE26" s="156">
        <f>AA26*(X54^2)</f>
        <v>57.415809941611911</v>
      </c>
    </row>
    <row r="27" spans="1:31" x14ac:dyDescent="0.25"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Z27" s="156"/>
      <c r="AA27" s="156"/>
      <c r="AB27" s="156"/>
      <c r="AC27" s="156"/>
      <c r="AD27" s="156"/>
      <c r="AE27" s="156"/>
    </row>
    <row r="28" spans="1:31" x14ac:dyDescent="0.25">
      <c r="B28" s="105" t="s">
        <v>257</v>
      </c>
      <c r="C28" s="105" t="s">
        <v>258</v>
      </c>
      <c r="D28">
        <v>0.85</v>
      </c>
      <c r="F28" s="105"/>
      <c r="G28" s="105">
        <v>4.7</v>
      </c>
      <c r="H28" s="105"/>
      <c r="I28" s="105"/>
      <c r="J28" s="105"/>
      <c r="K28" s="105">
        <v>9.1999999999999993</v>
      </c>
      <c r="L28" s="105"/>
      <c r="M28" s="105"/>
      <c r="N28" s="105">
        <v>13.5</v>
      </c>
      <c r="O28" s="105"/>
      <c r="P28" s="105"/>
      <c r="Q28" s="105">
        <v>17.7</v>
      </c>
      <c r="R28" s="105"/>
      <c r="S28" s="105"/>
      <c r="T28" s="105">
        <v>22.34</v>
      </c>
      <c r="U28" s="105"/>
      <c r="V28" s="105"/>
      <c r="W28" s="105">
        <v>26.6</v>
      </c>
      <c r="Z28" s="156" t="s">
        <v>225</v>
      </c>
      <c r="AA28" s="156">
        <f>AA2+AA7+AA9+AA14+AA17+AA21+AA26</f>
        <v>479.99587802785965</v>
      </c>
      <c r="AB28" s="156"/>
      <c r="AC28" s="156">
        <f>AC2+AC7+AC9+AC14+AC17+AC21+AC26</f>
        <v>3349.1132914075079</v>
      </c>
      <c r="AD28" s="156"/>
      <c r="AE28" s="156">
        <f>AE2+AE7+AE9+AE14+AE17+AE21+AE26</f>
        <v>37781.069076226813</v>
      </c>
    </row>
    <row r="29" spans="1:31" x14ac:dyDescent="0.25">
      <c r="C29" s="105"/>
      <c r="D29" s="105"/>
      <c r="E29" s="105"/>
      <c r="F29" s="105"/>
      <c r="G29" s="105">
        <v>4</v>
      </c>
      <c r="H29" s="105"/>
      <c r="I29" s="105"/>
      <c r="J29" s="105"/>
      <c r="K29" s="105">
        <v>8</v>
      </c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1:31" x14ac:dyDescent="0.25">
      <c r="A30" s="178"/>
      <c r="B30" s="91">
        <v>13.95</v>
      </c>
      <c r="D30" s="105"/>
      <c r="E30" s="105"/>
      <c r="F30" s="105"/>
      <c r="G30" s="114">
        <f>rigidezze!L13</f>
        <v>5.0596785086392035</v>
      </c>
      <c r="H30" s="102"/>
      <c r="I30" s="102"/>
      <c r="J30" s="102"/>
      <c r="K30" s="151">
        <f>rigidezze!K13</f>
        <v>8.9443829065549689</v>
      </c>
      <c r="L30" s="102"/>
      <c r="M30" s="102"/>
      <c r="N30" s="106"/>
      <c r="O30" s="105"/>
      <c r="P30" s="105"/>
      <c r="Q30" s="107"/>
      <c r="R30" s="102"/>
      <c r="S30" s="102"/>
      <c r="T30" s="151">
        <f>K30</f>
        <v>8.9443829065549689</v>
      </c>
      <c r="U30" s="102"/>
      <c r="V30" s="102"/>
      <c r="W30" s="192">
        <f>K30</f>
        <v>8.9443829065549689</v>
      </c>
      <c r="X30" s="91">
        <v>13.95</v>
      </c>
    </row>
    <row r="31" spans="1:31" x14ac:dyDescent="0.25">
      <c r="A31" s="178"/>
      <c r="D31" s="105"/>
      <c r="E31" s="105"/>
      <c r="F31" s="105"/>
      <c r="G31" s="108"/>
      <c r="H31" s="105"/>
      <c r="I31" s="105"/>
      <c r="J31" s="105"/>
      <c r="K31" s="105"/>
      <c r="L31" s="105"/>
      <c r="M31" s="105"/>
      <c r="N31" s="109"/>
      <c r="O31" s="105"/>
      <c r="P31" s="105"/>
      <c r="Q31" s="108"/>
      <c r="R31" s="105"/>
      <c r="S31" s="105"/>
      <c r="T31" s="105"/>
      <c r="U31" s="105"/>
      <c r="V31" s="105"/>
      <c r="W31" s="109"/>
      <c r="X31" s="91"/>
    </row>
    <row r="32" spans="1:31" x14ac:dyDescent="0.25">
      <c r="A32" s="178"/>
      <c r="D32" s="105"/>
      <c r="E32" s="105"/>
      <c r="F32" s="105"/>
      <c r="G32" s="108"/>
      <c r="H32" s="105"/>
      <c r="I32" s="105"/>
      <c r="J32" s="105"/>
      <c r="K32" s="105"/>
      <c r="L32" s="105"/>
      <c r="M32" s="105"/>
      <c r="N32" s="109"/>
      <c r="O32" s="105"/>
      <c r="P32" s="105"/>
      <c r="Q32" s="108"/>
      <c r="R32" s="105"/>
      <c r="S32" s="105"/>
      <c r="T32" s="105"/>
      <c r="U32" s="105"/>
      <c r="V32" s="105"/>
      <c r="W32" s="109"/>
      <c r="X32" s="91"/>
    </row>
    <row r="33" spans="1:24" x14ac:dyDescent="0.25">
      <c r="A33" s="178"/>
      <c r="D33" s="105"/>
      <c r="E33" s="105"/>
      <c r="F33" s="105"/>
      <c r="G33" s="108"/>
      <c r="H33" s="105"/>
      <c r="I33" s="105"/>
      <c r="J33" s="105"/>
      <c r="K33" s="105"/>
      <c r="L33" s="105"/>
      <c r="M33" s="105"/>
      <c r="N33" s="109"/>
      <c r="O33" s="105"/>
      <c r="P33" s="105"/>
      <c r="Q33" s="108"/>
      <c r="R33" s="105"/>
      <c r="S33" s="105"/>
      <c r="T33" s="105"/>
      <c r="U33" s="105"/>
      <c r="V33" s="105"/>
      <c r="W33" s="109"/>
      <c r="X33" s="91"/>
    </row>
    <row r="34" spans="1:24" x14ac:dyDescent="0.25">
      <c r="A34" s="178"/>
      <c r="D34" s="105"/>
      <c r="E34" s="105"/>
      <c r="F34" s="105"/>
      <c r="G34" s="108"/>
      <c r="H34" s="105"/>
      <c r="I34" s="105"/>
      <c r="J34" s="105"/>
      <c r="K34" s="105"/>
      <c r="L34" s="105"/>
      <c r="M34" s="105"/>
      <c r="N34" s="109"/>
      <c r="O34" s="105"/>
      <c r="P34" s="105"/>
      <c r="Q34" s="108"/>
      <c r="R34" s="105"/>
      <c r="S34" s="105"/>
      <c r="T34" s="105"/>
      <c r="U34" s="105"/>
      <c r="V34" s="105"/>
      <c r="W34" s="109"/>
      <c r="X34" s="91"/>
    </row>
    <row r="35" spans="1:24" x14ac:dyDescent="0.25">
      <c r="A35" s="178"/>
      <c r="B35" s="91">
        <v>11.85</v>
      </c>
      <c r="D35" s="194">
        <f>K30</f>
        <v>8.9443829065549689</v>
      </c>
      <c r="E35" s="102"/>
      <c r="F35" s="102"/>
      <c r="G35" s="195">
        <f>K30</f>
        <v>8.9443829065549689</v>
      </c>
      <c r="H35" s="105"/>
      <c r="I35" s="105"/>
      <c r="J35" s="105"/>
      <c r="K35" s="105"/>
      <c r="L35" s="105"/>
      <c r="M35" s="105"/>
      <c r="N35" s="109"/>
      <c r="O35" s="105"/>
      <c r="P35" s="105"/>
      <c r="Q35" s="108"/>
      <c r="R35" s="105"/>
      <c r="S35" s="105"/>
      <c r="T35" s="105"/>
      <c r="U35" s="105"/>
      <c r="V35" s="105"/>
      <c r="W35" s="109"/>
      <c r="X35" s="91"/>
    </row>
    <row r="36" spans="1:24" x14ac:dyDescent="0.25">
      <c r="A36" s="178"/>
      <c r="D36" s="108"/>
      <c r="E36" s="105"/>
      <c r="F36" s="105"/>
      <c r="G36" s="105"/>
      <c r="H36" s="105"/>
      <c r="I36" s="105"/>
      <c r="J36" s="105"/>
      <c r="K36" s="105"/>
      <c r="L36" s="105"/>
      <c r="M36" s="105"/>
      <c r="N36" s="109">
        <v>13</v>
      </c>
      <c r="O36" s="105"/>
      <c r="P36" s="105"/>
      <c r="Q36" s="108"/>
      <c r="R36" s="105"/>
      <c r="S36" s="105"/>
      <c r="T36" s="105"/>
      <c r="U36" s="105"/>
      <c r="V36" s="105"/>
      <c r="W36" s="109"/>
      <c r="X36" s="91"/>
    </row>
    <row r="37" spans="1:24" x14ac:dyDescent="0.25">
      <c r="A37" s="178"/>
      <c r="D37" s="108"/>
      <c r="E37" s="105"/>
      <c r="F37" s="105"/>
      <c r="G37" s="105"/>
      <c r="H37" s="105"/>
      <c r="I37" s="105"/>
      <c r="J37" s="105"/>
      <c r="K37" s="150">
        <f>G42</f>
        <v>37.110254290115428</v>
      </c>
      <c r="L37" s="105"/>
      <c r="M37" s="105"/>
      <c r="N37" s="149">
        <f>rigidezze!K12</f>
        <v>29.530584436482165</v>
      </c>
      <c r="O37" s="102"/>
      <c r="P37" s="103"/>
      <c r="Q37" s="190">
        <f>N37</f>
        <v>29.530584436482165</v>
      </c>
      <c r="R37" s="105"/>
      <c r="S37" s="105"/>
      <c r="T37" s="150">
        <f>G42</f>
        <v>37.110254290115428</v>
      </c>
      <c r="U37" s="105"/>
      <c r="V37" s="105"/>
      <c r="W37" s="189">
        <f>G42</f>
        <v>37.110254290115428</v>
      </c>
      <c r="X37" s="91">
        <v>10.1</v>
      </c>
    </row>
    <row r="38" spans="1:24" x14ac:dyDescent="0.25">
      <c r="A38" s="178"/>
      <c r="D38" s="108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9"/>
      <c r="X38" s="91"/>
    </row>
    <row r="39" spans="1:24" x14ac:dyDescent="0.25">
      <c r="A39" s="178"/>
      <c r="D39" s="108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9"/>
      <c r="X39" s="91"/>
    </row>
    <row r="40" spans="1:24" x14ac:dyDescent="0.25">
      <c r="D40" s="108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9"/>
      <c r="X40" s="91"/>
    </row>
    <row r="41" spans="1:24" x14ac:dyDescent="0.25">
      <c r="D41" s="108"/>
      <c r="E41" s="105"/>
      <c r="F41" s="105"/>
      <c r="G41" s="105">
        <v>6</v>
      </c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9"/>
      <c r="X41" s="91"/>
    </row>
    <row r="42" spans="1:24" x14ac:dyDescent="0.25">
      <c r="B42" s="91">
        <v>6.39</v>
      </c>
      <c r="D42" s="188">
        <f>G42</f>
        <v>37.110254290115428</v>
      </c>
      <c r="E42" s="105"/>
      <c r="F42" s="105"/>
      <c r="G42" s="150">
        <f>rigidezze!J12</f>
        <v>37.110254290115428</v>
      </c>
      <c r="H42" s="105"/>
      <c r="I42" s="105"/>
      <c r="J42" s="105"/>
      <c r="K42" s="150">
        <f>D42</f>
        <v>37.110254290115428</v>
      </c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9"/>
      <c r="X42" s="91"/>
    </row>
    <row r="43" spans="1:24" x14ac:dyDescent="0.25">
      <c r="D43" s="108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9"/>
      <c r="X43" s="91"/>
    </row>
    <row r="44" spans="1:24" x14ac:dyDescent="0.25">
      <c r="D44" s="108"/>
      <c r="E44" s="105"/>
      <c r="F44" s="105"/>
      <c r="G44" s="105"/>
      <c r="H44" s="105"/>
      <c r="I44" s="105"/>
      <c r="J44" s="105"/>
      <c r="K44" s="105"/>
      <c r="L44" s="105"/>
      <c r="M44" s="105"/>
      <c r="N44" s="105">
        <v>14</v>
      </c>
      <c r="O44" s="105"/>
      <c r="P44" s="105"/>
      <c r="Q44" s="105"/>
      <c r="R44" s="105"/>
      <c r="S44" s="105"/>
      <c r="T44" s="105"/>
      <c r="U44" s="105"/>
      <c r="V44" s="105"/>
      <c r="W44" s="109"/>
      <c r="X44" s="91"/>
    </row>
    <row r="45" spans="1:24" x14ac:dyDescent="0.25">
      <c r="D45" s="108"/>
      <c r="E45" s="105"/>
      <c r="F45" s="105"/>
      <c r="G45" s="105"/>
      <c r="H45" s="105"/>
      <c r="I45" s="105"/>
      <c r="J45" s="105"/>
      <c r="K45" s="105"/>
      <c r="L45" s="105"/>
      <c r="M45" s="105"/>
      <c r="N45" s="148">
        <f>rigidezze!J13</f>
        <v>10.08272882530783</v>
      </c>
      <c r="O45" s="105"/>
      <c r="P45" s="105"/>
      <c r="Q45" s="150">
        <f>G42</f>
        <v>37.110254290115428</v>
      </c>
      <c r="R45" s="105"/>
      <c r="S45" s="105"/>
      <c r="T45" s="150">
        <f>G42</f>
        <v>37.110254290115428</v>
      </c>
      <c r="U45" s="105"/>
      <c r="V45" s="105"/>
      <c r="W45" s="189">
        <f>G42</f>
        <v>37.110254290115428</v>
      </c>
      <c r="X45" s="91">
        <v>5.0999999999999996</v>
      </c>
    </row>
    <row r="46" spans="1:24" x14ac:dyDescent="0.25">
      <c r="D46" s="108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9"/>
      <c r="X46" s="91"/>
    </row>
    <row r="47" spans="1:24" x14ac:dyDescent="0.25">
      <c r="D47" s="108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9"/>
      <c r="X47" s="91"/>
    </row>
    <row r="48" spans="1:24" x14ac:dyDescent="0.25">
      <c r="D48" s="108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9"/>
      <c r="X48" s="91"/>
    </row>
    <row r="49" spans="1:30" x14ac:dyDescent="0.25">
      <c r="B49" s="91">
        <v>2.75</v>
      </c>
      <c r="D49" s="193">
        <f>K30</f>
        <v>8.9443829065549689</v>
      </c>
      <c r="E49" s="104"/>
      <c r="F49" s="104"/>
      <c r="G49" s="196">
        <f>K30</f>
        <v>8.9443829065549689</v>
      </c>
      <c r="H49" s="104"/>
      <c r="I49" s="104"/>
      <c r="J49" s="104"/>
      <c r="K49" s="191">
        <f>N37</f>
        <v>29.530584436482165</v>
      </c>
      <c r="L49" s="104"/>
      <c r="M49" s="104"/>
      <c r="N49" s="105"/>
      <c r="O49" s="105"/>
      <c r="P49" s="105"/>
      <c r="Q49" s="105"/>
      <c r="R49" s="105"/>
      <c r="S49" s="105"/>
      <c r="T49" s="105"/>
      <c r="U49" s="105"/>
      <c r="V49" s="105"/>
      <c r="W49" s="109"/>
      <c r="X49" s="91"/>
    </row>
    <row r="50" spans="1:30" x14ac:dyDescent="0.25"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8"/>
      <c r="O50" s="105"/>
      <c r="P50" s="105"/>
      <c r="Q50" s="105"/>
      <c r="R50" s="105"/>
      <c r="S50" s="105"/>
      <c r="T50" s="105"/>
      <c r="U50" s="105"/>
      <c r="V50" s="105"/>
      <c r="W50" s="109"/>
      <c r="X50" s="91"/>
    </row>
    <row r="51" spans="1:30" x14ac:dyDescent="0.25"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8"/>
      <c r="O51" s="105"/>
      <c r="P51" s="105"/>
      <c r="Q51" s="105"/>
      <c r="R51" s="105"/>
      <c r="S51" s="105"/>
      <c r="T51" s="105"/>
      <c r="U51" s="105"/>
      <c r="V51" s="105"/>
      <c r="W51" s="109"/>
      <c r="X51" s="91"/>
    </row>
    <row r="52" spans="1:30" x14ac:dyDescent="0.25"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8"/>
      <c r="O52" s="105"/>
      <c r="P52" s="105"/>
      <c r="Q52" s="105"/>
      <c r="R52" s="105"/>
      <c r="S52" s="105"/>
      <c r="T52" s="105"/>
      <c r="U52" s="105"/>
      <c r="V52" s="105"/>
      <c r="W52" s="109"/>
      <c r="X52" s="91"/>
    </row>
    <row r="53" spans="1:30" x14ac:dyDescent="0.25"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8"/>
      <c r="O53" s="105"/>
      <c r="P53" s="105"/>
      <c r="Q53" s="105"/>
      <c r="R53" s="105"/>
      <c r="S53" s="105"/>
      <c r="T53" s="105"/>
      <c r="U53" s="105"/>
      <c r="V53" s="105"/>
      <c r="W53" s="109"/>
      <c r="X53" s="91"/>
    </row>
    <row r="54" spans="1:30" x14ac:dyDescent="0.25"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93">
        <f>K30</f>
        <v>8.9443829065549689</v>
      </c>
      <c r="O54" s="104"/>
      <c r="P54" s="104"/>
      <c r="Q54" s="196">
        <f>K30</f>
        <v>8.9443829065549689</v>
      </c>
      <c r="R54" s="104"/>
      <c r="S54" s="104"/>
      <c r="T54" s="196">
        <f>K30</f>
        <v>8.9443829065549689</v>
      </c>
      <c r="U54" s="104"/>
      <c r="V54" s="104"/>
      <c r="W54" s="197">
        <f>K30</f>
        <v>8.9443829065549689</v>
      </c>
      <c r="X54" s="91">
        <v>0.65</v>
      </c>
    </row>
    <row r="55" spans="1:30" x14ac:dyDescent="0.25"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Z55" s="15" t="s">
        <v>225</v>
      </c>
      <c r="AB55" s="199" t="s">
        <v>264</v>
      </c>
      <c r="AC55" s="91"/>
      <c r="AD55" s="105" t="s">
        <v>286</v>
      </c>
    </row>
    <row r="56" spans="1:30" x14ac:dyDescent="0.25">
      <c r="A56" s="15" t="s">
        <v>263</v>
      </c>
      <c r="B56" s="15"/>
      <c r="C56" s="15"/>
      <c r="D56" s="156">
        <f>D35+D42+D49</f>
        <v>54.999020103225369</v>
      </c>
      <c r="E56" s="156"/>
      <c r="F56" s="156"/>
      <c r="G56" s="156">
        <f>G30+G35+G42+G49</f>
        <v>60.058698611864571</v>
      </c>
      <c r="H56" s="156"/>
      <c r="I56" s="156"/>
      <c r="J56" s="156"/>
      <c r="K56" s="156">
        <f>K30+K37+K42+K49</f>
        <v>112.69547592326799</v>
      </c>
      <c r="L56" s="156"/>
      <c r="M56" s="156"/>
      <c r="N56" s="156">
        <f>N37+N45+N54</f>
        <v>48.557696168344968</v>
      </c>
      <c r="O56" s="156"/>
      <c r="P56" s="156"/>
      <c r="Q56" s="156">
        <f>Q37+Q45+Q54</f>
        <v>75.585221633152557</v>
      </c>
      <c r="R56" s="156"/>
      <c r="S56" s="156"/>
      <c r="T56" s="156">
        <f>T30+T37+T45+T54</f>
        <v>92.109274393340783</v>
      </c>
      <c r="U56" s="156"/>
      <c r="V56" s="156"/>
      <c r="W56" s="156">
        <f>W30+W37+W45+W54</f>
        <v>92.109274393340783</v>
      </c>
      <c r="X56" s="15"/>
      <c r="Y56" s="15"/>
      <c r="Z56" s="15">
        <f>D56+G56+K56+N56+Q56+T56+W56</f>
        <v>536.11466122653701</v>
      </c>
      <c r="AB56" s="199"/>
      <c r="AC56" s="91"/>
      <c r="AD56" s="91"/>
    </row>
    <row r="57" spans="1:30" x14ac:dyDescent="0.2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B57" s="217">
        <f>Z58/Z56</f>
        <v>14.674171791998209</v>
      </c>
      <c r="AC57" s="91"/>
      <c r="AD57" s="134">
        <v>14.52</v>
      </c>
    </row>
    <row r="58" spans="1:30" x14ac:dyDescent="0.25">
      <c r="A58" s="15" t="s">
        <v>260</v>
      </c>
      <c r="B58" s="15"/>
      <c r="C58" s="15"/>
      <c r="D58" s="15">
        <f>D56*D28</f>
        <v>46.749167087741561</v>
      </c>
      <c r="E58" s="15"/>
      <c r="F58" s="15"/>
      <c r="G58" s="15">
        <f>G56*G28</f>
        <v>282.27588347576352</v>
      </c>
      <c r="H58" s="15"/>
      <c r="I58" s="15"/>
      <c r="J58" s="15"/>
      <c r="K58" s="15">
        <f>K56*K28</f>
        <v>1036.7983784940654</v>
      </c>
      <c r="L58" s="15"/>
      <c r="M58" s="15"/>
      <c r="N58" s="15">
        <f>N56*N28</f>
        <v>655.5288982726571</v>
      </c>
      <c r="O58" s="15"/>
      <c r="P58" s="15"/>
      <c r="Q58" s="15">
        <f>Q56*Q28</f>
        <v>1337.8584229068001</v>
      </c>
      <c r="R58" s="15"/>
      <c r="S58" s="15"/>
      <c r="T58" s="15">
        <f>T56*T28</f>
        <v>2057.7211899472331</v>
      </c>
      <c r="U58" s="15"/>
      <c r="V58" s="15"/>
      <c r="W58" s="15">
        <f>W56*W28</f>
        <v>2450.106698862865</v>
      </c>
      <c r="X58" s="15"/>
      <c r="Y58" s="15"/>
      <c r="Z58" s="15">
        <f>D58+G58+K58+N58+Q58+T58+W58</f>
        <v>7867.0386390471249</v>
      </c>
    </row>
    <row r="59" spans="1:30" x14ac:dyDescent="0.2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30" x14ac:dyDescent="0.25">
      <c r="A60" s="15" t="s">
        <v>261</v>
      </c>
      <c r="B60" s="15"/>
      <c r="C60" s="15"/>
      <c r="D60" s="15">
        <f>D56*(D28^2)</f>
        <v>39.736792024580325</v>
      </c>
      <c r="E60" s="15"/>
      <c r="F60" s="15"/>
      <c r="G60" s="15">
        <f>G56*(G28^2)</f>
        <v>1326.6966523360886</v>
      </c>
      <c r="H60" s="15"/>
      <c r="I60" s="15"/>
      <c r="J60" s="15"/>
      <c r="K60" s="15">
        <f>K56*(K28^2)</f>
        <v>9538.5450821454015</v>
      </c>
      <c r="L60" s="15"/>
      <c r="M60" s="15"/>
      <c r="N60" s="15">
        <f>N56*(N28^2)</f>
        <v>8849.6401266808698</v>
      </c>
      <c r="O60" s="15"/>
      <c r="P60" s="15"/>
      <c r="Q60" s="15">
        <f>Q56*(Q28^2)</f>
        <v>23680.094085450361</v>
      </c>
      <c r="R60" s="15"/>
      <c r="S60" s="15"/>
      <c r="T60" s="15">
        <f>T56*(T28^2)</f>
        <v>45969.491383421191</v>
      </c>
      <c r="U60" s="15"/>
      <c r="V60" s="15"/>
      <c r="W60" s="15">
        <f>W56*(W28^2)</f>
        <v>65172.838189752212</v>
      </c>
      <c r="X60" s="15"/>
      <c r="Y60" s="15"/>
      <c r="Z60" s="15">
        <f>D60+G60+K60+N60+Q60+T60+W60</f>
        <v>154577.04231181071</v>
      </c>
    </row>
    <row r="63" spans="1:30" x14ac:dyDescent="0.25">
      <c r="A63" s="93" t="s">
        <v>242</v>
      </c>
      <c r="B63" s="94"/>
    </row>
    <row r="64" spans="1:30" x14ac:dyDescent="0.25">
      <c r="A64" s="95" t="s">
        <v>243</v>
      </c>
      <c r="B64" s="96"/>
    </row>
    <row r="65" spans="1:2" x14ac:dyDescent="0.25">
      <c r="A65" s="95" t="s">
        <v>244</v>
      </c>
      <c r="B65" s="96"/>
    </row>
    <row r="66" spans="1:2" x14ac:dyDescent="0.25">
      <c r="A66" s="95" t="s">
        <v>245</v>
      </c>
      <c r="B66" s="96"/>
    </row>
    <row r="67" spans="1:2" x14ac:dyDescent="0.25">
      <c r="A67" s="97" t="s">
        <v>246</v>
      </c>
      <c r="B67" s="98"/>
    </row>
    <row r="68" spans="1:2" x14ac:dyDescent="0.25">
      <c r="A68" s="95" t="s">
        <v>247</v>
      </c>
      <c r="B68" s="99"/>
    </row>
    <row r="69" spans="1:2" x14ac:dyDescent="0.25">
      <c r="A69" s="95" t="s">
        <v>248</v>
      </c>
      <c r="B69" s="99"/>
    </row>
    <row r="70" spans="1:2" x14ac:dyDescent="0.25">
      <c r="A70" s="95" t="s">
        <v>249</v>
      </c>
      <c r="B70" s="99"/>
    </row>
    <row r="71" spans="1:2" x14ac:dyDescent="0.25">
      <c r="A71" s="95" t="s">
        <v>250</v>
      </c>
      <c r="B71" s="99"/>
    </row>
    <row r="72" spans="1:2" x14ac:dyDescent="0.25">
      <c r="A72" s="97" t="s">
        <v>251</v>
      </c>
      <c r="B72" s="10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1"/>
  <sheetViews>
    <sheetView topLeftCell="J1" zoomScale="70" zoomScaleNormal="70" workbookViewId="0">
      <selection activeCell="T56" sqref="T56"/>
    </sheetView>
  </sheetViews>
  <sheetFormatPr defaultRowHeight="15" x14ac:dyDescent="0.25"/>
  <cols>
    <col min="1" max="1" width="31" customWidth="1"/>
    <col min="28" max="28" width="9.140625" customWidth="1"/>
    <col min="33" max="33" width="9.5703125" customWidth="1"/>
  </cols>
  <sheetData>
    <row r="1" spans="1:38" x14ac:dyDescent="0.25">
      <c r="B1" s="105" t="s">
        <v>257</v>
      </c>
      <c r="C1" s="105" t="s">
        <v>258</v>
      </c>
      <c r="D1">
        <v>0.85</v>
      </c>
      <c r="F1" s="105"/>
      <c r="G1" s="105">
        <v>4.7</v>
      </c>
      <c r="H1" s="105"/>
      <c r="I1" s="105"/>
      <c r="J1" s="105"/>
      <c r="K1" s="105">
        <v>9.1999999999999993</v>
      </c>
      <c r="L1" s="105"/>
      <c r="M1" s="105"/>
      <c r="N1" s="105">
        <v>13.5</v>
      </c>
      <c r="O1" s="105"/>
      <c r="P1" s="105"/>
      <c r="Q1" s="105">
        <v>17.7</v>
      </c>
      <c r="R1" s="105"/>
      <c r="S1" s="105"/>
      <c r="T1" s="105">
        <v>22.34</v>
      </c>
      <c r="U1" s="105"/>
      <c r="V1" s="105"/>
      <c r="W1" s="105">
        <v>26.6</v>
      </c>
      <c r="Z1" s="498" t="s">
        <v>259</v>
      </c>
      <c r="AA1" s="499"/>
      <c r="AB1" s="500"/>
      <c r="AC1" s="216" t="s">
        <v>260</v>
      </c>
      <c r="AD1" s="216"/>
      <c r="AE1" s="216" t="s">
        <v>261</v>
      </c>
      <c r="AG1" s="133" t="s">
        <v>262</v>
      </c>
      <c r="AH1" s="105"/>
      <c r="AI1" s="105" t="s">
        <v>289</v>
      </c>
    </row>
    <row r="2" spans="1:38" x14ac:dyDescent="0.25">
      <c r="B2" s="91">
        <v>13.95</v>
      </c>
      <c r="D2" s="105"/>
      <c r="E2" s="105"/>
      <c r="F2" s="105"/>
      <c r="G2" s="203">
        <f>D21</f>
        <v>12.084041590728967</v>
      </c>
      <c r="H2" s="102"/>
      <c r="I2" s="102"/>
      <c r="J2" s="102"/>
      <c r="K2" s="202">
        <f>D21</f>
        <v>12.084041590728967</v>
      </c>
      <c r="L2" s="102"/>
      <c r="M2" s="102"/>
      <c r="N2" s="118"/>
      <c r="O2" s="105"/>
      <c r="P2" s="105"/>
      <c r="Q2" s="117"/>
      <c r="R2" s="102"/>
      <c r="S2" s="102"/>
      <c r="T2" s="202">
        <f>D21</f>
        <v>12.084041590728967</v>
      </c>
      <c r="U2" s="102"/>
      <c r="V2" s="102"/>
      <c r="W2" s="201">
        <f>D21</f>
        <v>12.084041590728967</v>
      </c>
      <c r="Z2" s="15"/>
      <c r="AA2" s="211">
        <f>G2+K2+T2+W2</f>
        <v>48.336166362915868</v>
      </c>
      <c r="AB2" s="15"/>
      <c r="AC2" s="211">
        <f>AA2*B2</f>
        <v>674.28952076267637</v>
      </c>
      <c r="AD2" s="156"/>
      <c r="AE2" s="211">
        <f>AA2*(X30^2)</f>
        <v>9406.3388146393354</v>
      </c>
      <c r="AG2" s="133"/>
      <c r="AH2" s="105"/>
      <c r="AI2" s="105"/>
    </row>
    <row r="3" spans="1:38" x14ac:dyDescent="0.25">
      <c r="B3" s="91"/>
      <c r="D3" s="105"/>
      <c r="E3" s="105"/>
      <c r="F3" s="105"/>
      <c r="G3" s="108"/>
      <c r="H3" s="105"/>
      <c r="I3" s="105"/>
      <c r="J3" s="105"/>
      <c r="K3" s="105"/>
      <c r="L3" s="105"/>
      <c r="M3" s="105"/>
      <c r="N3" s="109"/>
      <c r="O3" s="105"/>
      <c r="P3" s="105"/>
      <c r="Q3" s="108"/>
      <c r="R3" s="105"/>
      <c r="S3" s="105"/>
      <c r="T3" s="105"/>
      <c r="U3" s="105"/>
      <c r="V3" s="105"/>
      <c r="W3" s="109"/>
      <c r="Z3" s="15"/>
      <c r="AA3" s="211"/>
      <c r="AB3" s="15"/>
      <c r="AC3" s="211"/>
      <c r="AD3" s="156"/>
      <c r="AE3" s="211"/>
      <c r="AG3" s="135">
        <f>AC28/AA28</f>
        <v>6.698807957328758</v>
      </c>
      <c r="AH3" s="105"/>
      <c r="AI3" s="208">
        <v>7.41</v>
      </c>
    </row>
    <row r="4" spans="1:38" x14ac:dyDescent="0.25">
      <c r="A4" s="207"/>
      <c r="B4" s="91"/>
      <c r="D4" s="105"/>
      <c r="E4" s="105"/>
      <c r="F4" s="105"/>
      <c r="G4" s="108"/>
      <c r="H4" s="105"/>
      <c r="I4" s="105"/>
      <c r="J4" s="105"/>
      <c r="K4" s="105"/>
      <c r="L4" s="105"/>
      <c r="M4" s="105"/>
      <c r="N4" s="109"/>
      <c r="O4" s="105"/>
      <c r="P4" s="105"/>
      <c r="Q4" s="108"/>
      <c r="R4" s="105"/>
      <c r="S4" s="105"/>
      <c r="T4" s="105"/>
      <c r="U4" s="105"/>
      <c r="V4" s="105"/>
      <c r="W4" s="109"/>
      <c r="Z4" s="15"/>
      <c r="AA4" s="211"/>
      <c r="AB4" s="15"/>
      <c r="AC4" s="211"/>
      <c r="AD4" s="156"/>
      <c r="AE4" s="211"/>
    </row>
    <row r="5" spans="1:38" x14ac:dyDescent="0.25">
      <c r="A5" s="207"/>
      <c r="B5" s="91"/>
      <c r="D5" s="105"/>
      <c r="E5" s="105"/>
      <c r="F5" s="105"/>
      <c r="G5" s="108"/>
      <c r="H5" s="105"/>
      <c r="I5" s="105"/>
      <c r="J5" s="105"/>
      <c r="K5" s="105"/>
      <c r="L5" s="105"/>
      <c r="M5" s="105"/>
      <c r="N5" s="109"/>
      <c r="O5" s="105"/>
      <c r="P5" s="105"/>
      <c r="Q5" s="108"/>
      <c r="R5" s="105"/>
      <c r="S5" s="105"/>
      <c r="T5" s="105"/>
      <c r="U5" s="105"/>
      <c r="V5" s="105"/>
      <c r="W5" s="109"/>
      <c r="Z5" s="15"/>
      <c r="AA5" s="211"/>
      <c r="AB5" s="15"/>
      <c r="AC5" s="211"/>
      <c r="AD5" s="156"/>
      <c r="AE5" s="211"/>
    </row>
    <row r="6" spans="1:38" x14ac:dyDescent="0.25">
      <c r="A6" s="207"/>
      <c r="B6" s="91"/>
      <c r="D6" s="105"/>
      <c r="E6" s="105"/>
      <c r="F6" s="105"/>
      <c r="G6" s="108"/>
      <c r="H6" s="105"/>
      <c r="I6" s="105"/>
      <c r="J6" s="105"/>
      <c r="K6" s="105"/>
      <c r="L6" s="105"/>
      <c r="M6" s="105"/>
      <c r="N6" s="109"/>
      <c r="O6" s="105"/>
      <c r="P6" s="105"/>
      <c r="Q6" s="108"/>
      <c r="R6" s="105"/>
      <c r="S6" s="105"/>
      <c r="T6" s="105"/>
      <c r="U6" s="105"/>
      <c r="V6" s="105"/>
      <c r="W6" s="109"/>
      <c r="Z6" s="15"/>
      <c r="AA6" s="211"/>
      <c r="AB6" s="15"/>
      <c r="AC6" s="211"/>
      <c r="AD6" s="156"/>
      <c r="AE6" s="211"/>
    </row>
    <row r="7" spans="1:38" x14ac:dyDescent="0.25">
      <c r="A7" s="207"/>
      <c r="B7" s="91">
        <v>11.85</v>
      </c>
      <c r="D7" s="203">
        <f>D21</f>
        <v>12.084041590728967</v>
      </c>
      <c r="E7" s="102"/>
      <c r="F7" s="102"/>
      <c r="G7" s="204">
        <f>D21</f>
        <v>12.084041590728967</v>
      </c>
      <c r="H7" s="105"/>
      <c r="I7" s="105"/>
      <c r="J7" s="105"/>
      <c r="K7" s="105"/>
      <c r="L7" s="105"/>
      <c r="M7" s="105"/>
      <c r="N7" s="109"/>
      <c r="O7" s="105"/>
      <c r="P7" s="105"/>
      <c r="Q7" s="108"/>
      <c r="R7" s="105"/>
      <c r="S7" s="105"/>
      <c r="T7" s="105"/>
      <c r="U7" s="105"/>
      <c r="V7" s="105"/>
      <c r="W7" s="109"/>
      <c r="Z7" s="15"/>
      <c r="AA7" s="211">
        <f>D7+G7</f>
        <v>24.168083181457934</v>
      </c>
      <c r="AB7" s="15"/>
      <c r="AC7" s="211">
        <f>AA7*B7</f>
        <v>286.3917857002765</v>
      </c>
      <c r="AD7" s="156"/>
      <c r="AE7" s="211">
        <f>AA7*(B7^2)</f>
        <v>3393.7426605482765</v>
      </c>
    </row>
    <row r="8" spans="1:38" x14ac:dyDescent="0.25">
      <c r="A8" s="207"/>
      <c r="B8" s="91"/>
      <c r="D8" s="108"/>
      <c r="E8" s="105"/>
      <c r="F8" s="105"/>
      <c r="G8" s="105"/>
      <c r="H8" s="105"/>
      <c r="I8" s="105"/>
      <c r="J8" s="105"/>
      <c r="K8" s="105"/>
      <c r="L8" s="105"/>
      <c r="M8" s="105"/>
      <c r="N8" s="109">
        <v>13</v>
      </c>
      <c r="O8" s="105"/>
      <c r="P8" s="105"/>
      <c r="Q8" s="108"/>
      <c r="R8" s="105"/>
      <c r="S8" s="105"/>
      <c r="T8" s="105"/>
      <c r="U8" s="105"/>
      <c r="V8" s="105"/>
      <c r="W8" s="109"/>
      <c r="Z8" s="15"/>
      <c r="AA8" s="211"/>
      <c r="AB8" s="15"/>
      <c r="AC8" s="211"/>
      <c r="AD8" s="156"/>
      <c r="AE8" s="211"/>
      <c r="AG8" s="14"/>
      <c r="AH8" s="14"/>
      <c r="AI8" s="14"/>
      <c r="AJ8" s="14"/>
      <c r="AK8" s="14"/>
      <c r="AL8" s="14"/>
    </row>
    <row r="9" spans="1:38" x14ac:dyDescent="0.25">
      <c r="A9" s="207"/>
      <c r="B9" s="91">
        <v>10.1</v>
      </c>
      <c r="D9" s="108"/>
      <c r="E9" s="105"/>
      <c r="F9" s="105"/>
      <c r="G9" s="105"/>
      <c r="H9" s="105"/>
      <c r="I9" s="105"/>
      <c r="J9" s="105"/>
      <c r="K9" s="112">
        <f>T17</f>
        <v>3.5852091840472422</v>
      </c>
      <c r="L9" s="105"/>
      <c r="M9" s="105"/>
      <c r="N9" s="214">
        <f>rigidezze!K20</f>
        <v>7.8318167712217353</v>
      </c>
      <c r="O9" s="102"/>
      <c r="P9" s="103"/>
      <c r="Q9" s="215">
        <f>N9</f>
        <v>7.8318167712217353</v>
      </c>
      <c r="R9" s="105"/>
      <c r="S9" s="105"/>
      <c r="T9" s="112">
        <f>T17</f>
        <v>3.5852091840472422</v>
      </c>
      <c r="U9" s="105"/>
      <c r="V9" s="105"/>
      <c r="W9" s="213">
        <f>K14</f>
        <v>1.9888322574175896</v>
      </c>
      <c r="Z9" s="15"/>
      <c r="AA9" s="211">
        <f>K9+N9+Q9+T9+W9</f>
        <v>24.822884167955547</v>
      </c>
      <c r="AB9" s="15"/>
      <c r="AC9" s="211">
        <f>AA9*B9</f>
        <v>250.71113009635101</v>
      </c>
      <c r="AD9" s="156"/>
      <c r="AE9" s="211">
        <f>AA9*(X37^2)</f>
        <v>2532.1824139731452</v>
      </c>
      <c r="AG9" s="14"/>
      <c r="AH9" s="14"/>
      <c r="AI9" s="14"/>
      <c r="AJ9" s="14"/>
      <c r="AK9" s="14"/>
      <c r="AL9" s="14"/>
    </row>
    <row r="10" spans="1:38" x14ac:dyDescent="0.25">
      <c r="A10" s="207"/>
      <c r="B10" s="91"/>
      <c r="D10" s="108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9"/>
      <c r="Z10" s="15"/>
      <c r="AA10" s="211"/>
      <c r="AB10" s="15"/>
      <c r="AC10" s="211"/>
      <c r="AD10" s="156"/>
      <c r="AE10" s="211"/>
    </row>
    <row r="11" spans="1:38" x14ac:dyDescent="0.25">
      <c r="A11" s="207"/>
      <c r="B11" s="91"/>
      <c r="D11" s="108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9"/>
      <c r="Z11" s="15"/>
      <c r="AA11" s="211"/>
      <c r="AB11" s="15"/>
      <c r="AC11" s="211"/>
      <c r="AD11" s="156"/>
      <c r="AE11" s="211"/>
    </row>
    <row r="12" spans="1:38" x14ac:dyDescent="0.25">
      <c r="A12" s="207"/>
      <c r="B12" s="91"/>
      <c r="D12" s="108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9"/>
      <c r="Z12" s="15"/>
      <c r="AA12" s="211"/>
      <c r="AB12" s="15"/>
      <c r="AC12" s="211"/>
      <c r="AD12" s="156"/>
      <c r="AE12" s="211"/>
    </row>
    <row r="13" spans="1:38" x14ac:dyDescent="0.25">
      <c r="A13" s="207"/>
      <c r="B13" s="91"/>
      <c r="D13" s="108">
        <v>2</v>
      </c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9"/>
      <c r="Z13" s="15"/>
      <c r="AA13" s="211"/>
      <c r="AB13" s="15"/>
      <c r="AC13" s="211"/>
      <c r="AD13" s="156"/>
      <c r="AE13" s="211"/>
    </row>
    <row r="14" spans="1:38" x14ac:dyDescent="0.25">
      <c r="B14" s="91">
        <v>6.39</v>
      </c>
      <c r="D14" s="167">
        <f>rigidezze!L21</f>
        <v>1.9888322574175896</v>
      </c>
      <c r="E14" s="105"/>
      <c r="F14" s="105"/>
      <c r="G14" s="112">
        <f>T17</f>
        <v>3.5852091840472422</v>
      </c>
      <c r="H14" s="105"/>
      <c r="I14" s="105"/>
      <c r="J14" s="105"/>
      <c r="K14" s="122">
        <f>D14</f>
        <v>1.9888322574175896</v>
      </c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9"/>
      <c r="Z14" s="15"/>
      <c r="AA14" s="211">
        <f>D14+G14+K14</f>
        <v>7.5628736988824219</v>
      </c>
      <c r="AB14" s="15"/>
      <c r="AC14" s="211">
        <f>AA14*B14</f>
        <v>48.326762935858675</v>
      </c>
      <c r="AD14" s="156"/>
      <c r="AE14" s="211">
        <f>AA14*(B14^2)</f>
        <v>308.8080151601369</v>
      </c>
    </row>
    <row r="15" spans="1:38" x14ac:dyDescent="0.25">
      <c r="B15" s="91"/>
      <c r="D15" s="108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9"/>
      <c r="Z15" s="15"/>
      <c r="AA15" s="211"/>
      <c r="AB15" s="15"/>
      <c r="AC15" s="211"/>
      <c r="AD15" s="156"/>
      <c r="AE15" s="211"/>
    </row>
    <row r="16" spans="1:38" x14ac:dyDescent="0.25">
      <c r="B16" s="91"/>
      <c r="D16" s="108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>
        <v>22</v>
      </c>
      <c r="U16" s="105"/>
      <c r="V16" s="105"/>
      <c r="W16" s="109"/>
      <c r="Z16" s="15"/>
      <c r="AA16" s="211"/>
      <c r="AB16" s="15"/>
      <c r="AC16" s="211"/>
      <c r="AD16" s="156"/>
      <c r="AE16" s="211"/>
    </row>
    <row r="17" spans="1:31" x14ac:dyDescent="0.25">
      <c r="B17" s="91">
        <v>5.0999999999999996</v>
      </c>
      <c r="D17" s="108"/>
      <c r="E17" s="105"/>
      <c r="F17" s="105"/>
      <c r="G17" s="105"/>
      <c r="H17" s="105"/>
      <c r="I17" s="105"/>
      <c r="J17" s="105"/>
      <c r="K17" s="105"/>
      <c r="L17" s="105"/>
      <c r="M17" s="105"/>
      <c r="N17" s="150">
        <f>D21</f>
        <v>12.084041590728967</v>
      </c>
      <c r="O17" s="105"/>
      <c r="P17" s="105"/>
      <c r="Q17" s="214">
        <f>N9</f>
        <v>7.8318167712217353</v>
      </c>
      <c r="R17" s="105"/>
      <c r="S17" s="105"/>
      <c r="T17" s="112">
        <f>rigidezze!L20</f>
        <v>3.5852091840472422</v>
      </c>
      <c r="U17" s="105"/>
      <c r="V17" s="105"/>
      <c r="W17" s="213">
        <f>D14</f>
        <v>1.9888322574175896</v>
      </c>
      <c r="Z17" s="15"/>
      <c r="AA17" s="211">
        <f>N17+Q17+T17+W17</f>
        <v>25.489899803415536</v>
      </c>
      <c r="AB17" s="15"/>
      <c r="AC17" s="211">
        <f>AA17*B17</f>
        <v>129.99848899741923</v>
      </c>
      <c r="AD17" s="156"/>
      <c r="AE17" s="211">
        <f>AA17*(X45^2)</f>
        <v>662.99229388683807</v>
      </c>
    </row>
    <row r="18" spans="1:31" x14ac:dyDescent="0.25">
      <c r="B18" s="91"/>
      <c r="D18" s="108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9"/>
      <c r="Z18" s="15"/>
      <c r="AA18" s="211"/>
      <c r="AB18" s="15"/>
      <c r="AC18" s="211"/>
      <c r="AD18" s="156"/>
      <c r="AE18" s="211"/>
    </row>
    <row r="19" spans="1:31" x14ac:dyDescent="0.25">
      <c r="B19" s="91"/>
      <c r="D19" s="108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9"/>
      <c r="Z19" s="15"/>
      <c r="AA19" s="211"/>
      <c r="AB19" s="15"/>
      <c r="AC19" s="211"/>
      <c r="AD19" s="156"/>
      <c r="AE19" s="211"/>
    </row>
    <row r="20" spans="1:31" x14ac:dyDescent="0.25">
      <c r="B20" s="91"/>
      <c r="D20" s="108">
        <v>3</v>
      </c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9"/>
      <c r="Z20" s="15"/>
      <c r="AA20" s="211"/>
      <c r="AB20" s="15"/>
      <c r="AC20" s="211"/>
      <c r="AD20" s="156"/>
      <c r="AE20" s="211"/>
    </row>
    <row r="21" spans="1:31" x14ac:dyDescent="0.25">
      <c r="B21" s="91">
        <v>2.75</v>
      </c>
      <c r="D21" s="152">
        <f>rigidezze!K19</f>
        <v>12.084041590728967</v>
      </c>
      <c r="E21" s="104"/>
      <c r="F21" s="104"/>
      <c r="G21" s="144">
        <f>D21</f>
        <v>12.084041590728967</v>
      </c>
      <c r="H21" s="104"/>
      <c r="I21" s="104"/>
      <c r="J21" s="104"/>
      <c r="K21" s="163">
        <f>T17</f>
        <v>3.5852091840472422</v>
      </c>
      <c r="L21" s="104"/>
      <c r="M21" s="104"/>
      <c r="N21" s="105"/>
      <c r="O21" s="105"/>
      <c r="P21" s="105"/>
      <c r="Q21" s="105"/>
      <c r="R21" s="105"/>
      <c r="S21" s="105"/>
      <c r="T21" s="105"/>
      <c r="U21" s="105"/>
      <c r="V21" s="105"/>
      <c r="W21" s="109"/>
      <c r="Z21" s="15"/>
      <c r="AA21" s="211">
        <f>D21+G21+K21</f>
        <v>27.753292365505175</v>
      </c>
      <c r="AB21" s="15"/>
      <c r="AC21" s="211">
        <f>AA21*B21</f>
        <v>76.321554005139234</v>
      </c>
      <c r="AD21" s="156"/>
      <c r="AE21" s="211">
        <f>AA21*(B21^2)</f>
        <v>209.88427351413287</v>
      </c>
    </row>
    <row r="22" spans="1:31" x14ac:dyDescent="0.25">
      <c r="B22" s="91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8"/>
      <c r="O22" s="105"/>
      <c r="P22" s="105"/>
      <c r="Q22" s="105"/>
      <c r="R22" s="105"/>
      <c r="S22" s="105"/>
      <c r="T22" s="105"/>
      <c r="U22" s="105"/>
      <c r="V22" s="105"/>
      <c r="W22" s="109"/>
      <c r="Z22" s="15"/>
      <c r="AA22" s="211"/>
      <c r="AB22" s="15"/>
      <c r="AC22" s="211"/>
      <c r="AD22" s="156"/>
      <c r="AE22" s="211"/>
    </row>
    <row r="23" spans="1:31" x14ac:dyDescent="0.25">
      <c r="B23" s="91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8"/>
      <c r="O23" s="105"/>
      <c r="P23" s="105"/>
      <c r="Q23" s="105"/>
      <c r="R23" s="105"/>
      <c r="S23" s="105"/>
      <c r="T23" s="105"/>
      <c r="U23" s="105"/>
      <c r="V23" s="105"/>
      <c r="W23" s="109"/>
      <c r="Z23" s="15"/>
      <c r="AA23" s="211"/>
      <c r="AB23" s="15"/>
      <c r="AC23" s="211"/>
      <c r="AD23" s="156"/>
      <c r="AE23" s="211"/>
    </row>
    <row r="24" spans="1:31" x14ac:dyDescent="0.25">
      <c r="B24" s="91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8"/>
      <c r="O24" s="105"/>
      <c r="P24" s="105"/>
      <c r="Q24" s="105"/>
      <c r="R24" s="105"/>
      <c r="S24" s="105"/>
      <c r="T24" s="105"/>
      <c r="U24" s="105"/>
      <c r="V24" s="105"/>
      <c r="W24" s="109"/>
      <c r="Z24" s="15"/>
      <c r="AA24" s="211"/>
      <c r="AB24" s="15"/>
      <c r="AC24" s="211"/>
      <c r="AD24" s="156"/>
      <c r="AE24" s="211"/>
    </row>
    <row r="25" spans="1:31" x14ac:dyDescent="0.25">
      <c r="B25" s="91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8"/>
      <c r="O25" s="105"/>
      <c r="P25" s="105"/>
      <c r="Q25" s="105"/>
      <c r="R25" s="105"/>
      <c r="S25" s="105"/>
      <c r="T25" s="105">
        <v>23</v>
      </c>
      <c r="U25" s="105"/>
      <c r="V25" s="105"/>
      <c r="W25" s="109"/>
      <c r="Z25" s="15"/>
      <c r="AA25" s="211"/>
      <c r="AB25" s="15"/>
      <c r="AC25" s="211"/>
      <c r="AD25" s="156"/>
      <c r="AE25" s="211"/>
    </row>
    <row r="26" spans="1:31" x14ac:dyDescent="0.25">
      <c r="B26" s="91">
        <v>0.65</v>
      </c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52">
        <f>D21</f>
        <v>12.084041590728967</v>
      </c>
      <c r="O26" s="104"/>
      <c r="P26" s="104"/>
      <c r="Q26" s="116">
        <f>T26</f>
        <v>21.53707100714005</v>
      </c>
      <c r="R26" s="104"/>
      <c r="S26" s="104"/>
      <c r="T26" s="116">
        <f>rigidezze!J19</f>
        <v>21.53707100714005</v>
      </c>
      <c r="U26" s="104"/>
      <c r="V26" s="104"/>
      <c r="W26" s="200">
        <f>D21</f>
        <v>12.084041590728967</v>
      </c>
      <c r="Z26" s="15"/>
      <c r="AA26" s="211">
        <f>N26+Q26+T26+W26</f>
        <v>67.24222519573803</v>
      </c>
      <c r="AB26" s="15"/>
      <c r="AC26" s="211">
        <f>AA26*B26</f>
        <v>43.707446377229722</v>
      </c>
      <c r="AD26" s="156"/>
      <c r="AE26" s="211">
        <f>AA26*(X54^2)</f>
        <v>28.409840145199322</v>
      </c>
    </row>
    <row r="27" spans="1:31" x14ac:dyDescent="0.25"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Z27" s="15"/>
      <c r="AA27" s="211"/>
      <c r="AB27" s="15"/>
      <c r="AC27" s="211"/>
      <c r="AD27" s="156"/>
      <c r="AE27" s="211"/>
    </row>
    <row r="28" spans="1:31" x14ac:dyDescent="0.25">
      <c r="B28" s="105" t="s">
        <v>257</v>
      </c>
      <c r="C28" s="105" t="s">
        <v>258</v>
      </c>
      <c r="D28">
        <v>0.85</v>
      </c>
      <c r="F28" s="105"/>
      <c r="G28" s="105">
        <v>4.7</v>
      </c>
      <c r="H28" s="105"/>
      <c r="I28" s="105"/>
      <c r="J28" s="105"/>
      <c r="K28" s="105">
        <v>9.1999999999999993</v>
      </c>
      <c r="L28" s="105"/>
      <c r="M28" s="105"/>
      <c r="N28" s="105">
        <v>13.5</v>
      </c>
      <c r="O28" s="105"/>
      <c r="P28" s="105"/>
      <c r="Q28" s="105">
        <v>17.7</v>
      </c>
      <c r="R28" s="105"/>
      <c r="S28" s="105"/>
      <c r="T28" s="105">
        <v>22.34</v>
      </c>
      <c r="U28" s="105"/>
      <c r="V28" s="105"/>
      <c r="W28" s="105">
        <v>26.6</v>
      </c>
      <c r="Z28" s="216" t="s">
        <v>225</v>
      </c>
      <c r="AA28" s="211">
        <f>AA2+AA7+AA9+AA14+AA17+AA21+AA26</f>
        <v>225.37542477587053</v>
      </c>
      <c r="AB28" s="15"/>
      <c r="AC28" s="211">
        <f>AC2+AC7+AC9+AC14+AC17+AC21+AC26</f>
        <v>1509.7466888749505</v>
      </c>
      <c r="AD28" s="156"/>
      <c r="AE28" s="211">
        <f>AE2+AE7+AE9+AE14+AE17+AE21+AE26</f>
        <v>16542.358311867065</v>
      </c>
    </row>
    <row r="29" spans="1:31" x14ac:dyDescent="0.25">
      <c r="A29" s="206"/>
      <c r="C29" s="105"/>
      <c r="D29" s="105"/>
      <c r="E29" s="105"/>
      <c r="F29" s="105"/>
      <c r="G29" s="105">
        <v>4</v>
      </c>
      <c r="H29" s="105"/>
      <c r="I29" s="105"/>
      <c r="J29" s="105"/>
      <c r="K29" s="105">
        <v>8</v>
      </c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1:31" x14ac:dyDescent="0.25">
      <c r="A30" s="206"/>
      <c r="B30" s="91">
        <v>13.95</v>
      </c>
      <c r="D30" s="105"/>
      <c r="E30" s="105"/>
      <c r="F30" s="105"/>
      <c r="G30" s="154">
        <f>rigidezze!L27</f>
        <v>2.8068958138180466</v>
      </c>
      <c r="H30" s="102"/>
      <c r="I30" s="102"/>
      <c r="J30" s="102"/>
      <c r="K30" s="151">
        <f>rigidezze!K27</f>
        <v>7.5647507595373149</v>
      </c>
      <c r="L30" s="102"/>
      <c r="M30" s="102"/>
      <c r="N30" s="118"/>
      <c r="O30" s="105"/>
      <c r="P30" s="105"/>
      <c r="Q30" s="117"/>
      <c r="R30" s="102"/>
      <c r="S30" s="102"/>
      <c r="T30" s="151">
        <f>K30</f>
        <v>7.5647507595373149</v>
      </c>
      <c r="U30" s="102"/>
      <c r="V30" s="102"/>
      <c r="W30" s="192">
        <f>K30</f>
        <v>7.5647507595373149</v>
      </c>
      <c r="X30" s="91">
        <v>13.95</v>
      </c>
    </row>
    <row r="31" spans="1:31" x14ac:dyDescent="0.25">
      <c r="A31" s="206"/>
      <c r="D31" s="105"/>
      <c r="E31" s="105"/>
      <c r="F31" s="105"/>
      <c r="G31" s="108"/>
      <c r="H31" s="105"/>
      <c r="I31" s="105"/>
      <c r="J31" s="105"/>
      <c r="K31" s="105"/>
      <c r="L31" s="105"/>
      <c r="M31" s="105"/>
      <c r="N31" s="109"/>
      <c r="O31" s="105"/>
      <c r="P31" s="105"/>
      <c r="Q31" s="108"/>
      <c r="R31" s="105"/>
      <c r="S31" s="105"/>
      <c r="T31" s="105"/>
      <c r="U31" s="105"/>
      <c r="V31" s="105"/>
      <c r="W31" s="109"/>
      <c r="X31" s="91"/>
    </row>
    <row r="32" spans="1:31" x14ac:dyDescent="0.25">
      <c r="A32" s="206"/>
      <c r="D32" s="105"/>
      <c r="E32" s="105"/>
      <c r="F32" s="105"/>
      <c r="G32" s="108"/>
      <c r="H32" s="105"/>
      <c r="I32" s="105"/>
      <c r="J32" s="105"/>
      <c r="K32" s="105"/>
      <c r="L32" s="105"/>
      <c r="M32" s="105"/>
      <c r="N32" s="109"/>
      <c r="O32" s="105"/>
      <c r="P32" s="105"/>
      <c r="Q32" s="108"/>
      <c r="R32" s="105"/>
      <c r="S32" s="105"/>
      <c r="T32" s="105"/>
      <c r="U32" s="105"/>
      <c r="V32" s="105"/>
      <c r="W32" s="109"/>
      <c r="X32" s="91"/>
    </row>
    <row r="33" spans="1:24" x14ac:dyDescent="0.25">
      <c r="A33" s="206"/>
      <c r="D33" s="105"/>
      <c r="E33" s="105"/>
      <c r="F33" s="105"/>
      <c r="G33" s="108"/>
      <c r="H33" s="105"/>
      <c r="I33" s="105"/>
      <c r="J33" s="105"/>
      <c r="K33" s="105"/>
      <c r="L33" s="105"/>
      <c r="M33" s="105"/>
      <c r="N33" s="109"/>
      <c r="O33" s="105"/>
      <c r="P33" s="105"/>
      <c r="Q33" s="108"/>
      <c r="R33" s="105"/>
      <c r="S33" s="105"/>
      <c r="T33" s="105"/>
      <c r="U33" s="105"/>
      <c r="V33" s="105"/>
      <c r="W33" s="109"/>
      <c r="X33" s="91"/>
    </row>
    <row r="34" spans="1:24" x14ac:dyDescent="0.25">
      <c r="A34" s="206"/>
      <c r="D34" s="105"/>
      <c r="E34" s="105"/>
      <c r="F34" s="105"/>
      <c r="G34" s="108"/>
      <c r="H34" s="105"/>
      <c r="I34" s="105"/>
      <c r="J34" s="105"/>
      <c r="K34" s="105"/>
      <c r="L34" s="105"/>
      <c r="M34" s="105"/>
      <c r="N34" s="109"/>
      <c r="O34" s="105"/>
      <c r="P34" s="105"/>
      <c r="Q34" s="108"/>
      <c r="R34" s="105"/>
      <c r="S34" s="105"/>
      <c r="T34" s="105"/>
      <c r="U34" s="105"/>
      <c r="V34" s="105"/>
      <c r="W34" s="109"/>
      <c r="X34" s="91"/>
    </row>
    <row r="35" spans="1:24" x14ac:dyDescent="0.25">
      <c r="A35" s="206"/>
      <c r="B35" s="91">
        <v>11.85</v>
      </c>
      <c r="D35" s="194">
        <f>K30</f>
        <v>7.5647507595373149</v>
      </c>
      <c r="E35" s="102"/>
      <c r="F35" s="102"/>
      <c r="G35" s="195">
        <f>K30</f>
        <v>7.5647507595373149</v>
      </c>
      <c r="H35" s="105"/>
      <c r="I35" s="105"/>
      <c r="J35" s="105"/>
      <c r="K35" s="105"/>
      <c r="L35" s="105"/>
      <c r="M35" s="105"/>
      <c r="N35" s="109"/>
      <c r="O35" s="105"/>
      <c r="P35" s="105"/>
      <c r="Q35" s="108"/>
      <c r="R35" s="105"/>
      <c r="S35" s="105"/>
      <c r="T35" s="105"/>
      <c r="U35" s="105"/>
      <c r="V35" s="105"/>
      <c r="W35" s="109"/>
      <c r="X35" s="91"/>
    </row>
    <row r="36" spans="1:24" x14ac:dyDescent="0.25">
      <c r="A36" s="206"/>
      <c r="D36" s="108"/>
      <c r="E36" s="105"/>
      <c r="F36" s="105"/>
      <c r="G36" s="105"/>
      <c r="H36" s="105"/>
      <c r="I36" s="105"/>
      <c r="J36" s="105"/>
      <c r="K36" s="105"/>
      <c r="L36" s="105"/>
      <c r="M36" s="105"/>
      <c r="N36" s="109">
        <v>13</v>
      </c>
      <c r="O36" s="105"/>
      <c r="P36" s="105"/>
      <c r="Q36" s="108"/>
      <c r="R36" s="105"/>
      <c r="S36" s="105"/>
      <c r="T36" s="105"/>
      <c r="U36" s="105"/>
      <c r="V36" s="105"/>
      <c r="W36" s="109"/>
      <c r="X36" s="91"/>
    </row>
    <row r="37" spans="1:24" x14ac:dyDescent="0.25">
      <c r="A37" s="206"/>
      <c r="D37" s="108"/>
      <c r="E37" s="105"/>
      <c r="F37" s="105"/>
      <c r="G37" s="105"/>
      <c r="H37" s="105"/>
      <c r="I37" s="105"/>
      <c r="J37" s="105"/>
      <c r="K37" s="112">
        <f>G42</f>
        <v>20.540016477892124</v>
      </c>
      <c r="L37" s="105"/>
      <c r="M37" s="105"/>
      <c r="N37" s="148">
        <f>rigidezze!K26</f>
        <v>11.459802688385174</v>
      </c>
      <c r="O37" s="102"/>
      <c r="P37" s="103"/>
      <c r="Q37" s="153">
        <f>N37</f>
        <v>11.459802688385174</v>
      </c>
      <c r="R37" s="105"/>
      <c r="S37" s="105"/>
      <c r="T37" s="112">
        <f>G42</f>
        <v>20.540016477892124</v>
      </c>
      <c r="U37" s="105"/>
      <c r="V37" s="105"/>
      <c r="W37" s="205">
        <f>G42</f>
        <v>20.540016477892124</v>
      </c>
      <c r="X37" s="91">
        <v>10.1</v>
      </c>
    </row>
    <row r="38" spans="1:24" x14ac:dyDescent="0.25">
      <c r="A38" s="206"/>
      <c r="D38" s="108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9"/>
      <c r="X38" s="91"/>
    </row>
    <row r="39" spans="1:24" x14ac:dyDescent="0.25">
      <c r="D39" s="108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9"/>
      <c r="X39" s="91"/>
    </row>
    <row r="40" spans="1:24" x14ac:dyDescent="0.25">
      <c r="D40" s="108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9"/>
      <c r="X40" s="91"/>
    </row>
    <row r="41" spans="1:24" x14ac:dyDescent="0.25">
      <c r="D41" s="108"/>
      <c r="E41" s="105"/>
      <c r="F41" s="105"/>
      <c r="G41" s="105">
        <v>6</v>
      </c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9"/>
      <c r="X41" s="91"/>
    </row>
    <row r="42" spans="1:24" x14ac:dyDescent="0.25">
      <c r="B42" s="91">
        <v>6.39</v>
      </c>
      <c r="D42" s="177">
        <f>G42</f>
        <v>20.540016477892124</v>
      </c>
      <c r="E42" s="105"/>
      <c r="F42" s="105"/>
      <c r="G42" s="112">
        <f>rigidezze!J26</f>
        <v>20.540016477892124</v>
      </c>
      <c r="H42" s="105"/>
      <c r="I42" s="105"/>
      <c r="J42" s="105"/>
      <c r="K42" s="112">
        <f>G42</f>
        <v>20.540016477892124</v>
      </c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9"/>
      <c r="X42" s="91"/>
    </row>
    <row r="43" spans="1:24" x14ac:dyDescent="0.25">
      <c r="D43" s="108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9"/>
      <c r="X43" s="91"/>
    </row>
    <row r="44" spans="1:24" x14ac:dyDescent="0.25">
      <c r="D44" s="108"/>
      <c r="E44" s="105"/>
      <c r="F44" s="105"/>
      <c r="G44" s="105"/>
      <c r="H44" s="105"/>
      <c r="I44" s="105"/>
      <c r="J44" s="105"/>
      <c r="K44" s="105"/>
      <c r="L44" s="105"/>
      <c r="M44" s="105"/>
      <c r="N44" s="105">
        <v>14</v>
      </c>
      <c r="O44" s="105"/>
      <c r="P44" s="105"/>
      <c r="Q44" s="105"/>
      <c r="R44" s="105"/>
      <c r="S44" s="105"/>
      <c r="T44" s="105"/>
      <c r="U44" s="105"/>
      <c r="V44" s="105"/>
      <c r="W44" s="109"/>
      <c r="X44" s="91"/>
    </row>
    <row r="45" spans="1:24" x14ac:dyDescent="0.25">
      <c r="D45" s="108"/>
      <c r="E45" s="105"/>
      <c r="F45" s="105"/>
      <c r="G45" s="105"/>
      <c r="H45" s="105"/>
      <c r="I45" s="105"/>
      <c r="J45" s="105"/>
      <c r="K45" s="105"/>
      <c r="L45" s="105"/>
      <c r="M45" s="105"/>
      <c r="N45" s="115">
        <f>rigidezze!J27</f>
        <v>10.681937318567646</v>
      </c>
      <c r="O45" s="105"/>
      <c r="P45" s="105"/>
      <c r="Q45" s="112">
        <f>G42</f>
        <v>20.540016477892124</v>
      </c>
      <c r="R45" s="105"/>
      <c r="S45" s="105"/>
      <c r="T45" s="112">
        <f>G42</f>
        <v>20.540016477892124</v>
      </c>
      <c r="U45" s="105"/>
      <c r="V45" s="105"/>
      <c r="W45" s="205">
        <f>G42</f>
        <v>20.540016477892124</v>
      </c>
      <c r="X45" s="91">
        <v>5.0999999999999996</v>
      </c>
    </row>
    <row r="46" spans="1:24" x14ac:dyDescent="0.25">
      <c r="D46" s="108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9"/>
      <c r="X46" s="91"/>
    </row>
    <row r="47" spans="1:24" x14ac:dyDescent="0.25">
      <c r="D47" s="108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9"/>
      <c r="X47" s="91"/>
    </row>
    <row r="48" spans="1:24" x14ac:dyDescent="0.25">
      <c r="D48" s="108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9"/>
      <c r="X48" s="91"/>
    </row>
    <row r="49" spans="1:30" x14ac:dyDescent="0.25">
      <c r="B49" s="91">
        <v>2.75</v>
      </c>
      <c r="D49" s="193">
        <f>K30</f>
        <v>7.5647507595373149</v>
      </c>
      <c r="E49" s="104"/>
      <c r="F49" s="104"/>
      <c r="G49" s="196">
        <f>K30</f>
        <v>7.5647507595373149</v>
      </c>
      <c r="H49" s="104"/>
      <c r="I49" s="104"/>
      <c r="J49" s="104"/>
      <c r="K49" s="186">
        <f>N37</f>
        <v>11.459802688385174</v>
      </c>
      <c r="L49" s="104"/>
      <c r="M49" s="104"/>
      <c r="N49" s="105"/>
      <c r="O49" s="105"/>
      <c r="P49" s="105"/>
      <c r="Q49" s="105"/>
      <c r="R49" s="105"/>
      <c r="S49" s="105"/>
      <c r="T49" s="105"/>
      <c r="U49" s="105"/>
      <c r="V49" s="105"/>
      <c r="W49" s="109"/>
      <c r="X49" s="91"/>
    </row>
    <row r="50" spans="1:30" x14ac:dyDescent="0.25"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8"/>
      <c r="O50" s="105"/>
      <c r="P50" s="105"/>
      <c r="Q50" s="105"/>
      <c r="R50" s="105"/>
      <c r="S50" s="105"/>
      <c r="T50" s="105"/>
      <c r="U50" s="105"/>
      <c r="V50" s="105"/>
      <c r="W50" s="109"/>
      <c r="X50" s="91"/>
    </row>
    <row r="51" spans="1:30" x14ac:dyDescent="0.25"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8"/>
      <c r="O51" s="105"/>
      <c r="P51" s="105"/>
      <c r="Q51" s="105"/>
      <c r="R51" s="105"/>
      <c r="S51" s="105"/>
      <c r="T51" s="105"/>
      <c r="U51" s="105"/>
      <c r="V51" s="105"/>
      <c r="W51" s="109"/>
      <c r="X51" s="91"/>
    </row>
    <row r="52" spans="1:30" x14ac:dyDescent="0.25"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8"/>
      <c r="O52" s="105"/>
      <c r="P52" s="105"/>
      <c r="Q52" s="105"/>
      <c r="R52" s="105"/>
      <c r="S52" s="105"/>
      <c r="T52" s="105"/>
      <c r="U52" s="105"/>
      <c r="V52" s="105"/>
      <c r="W52" s="109"/>
      <c r="X52" s="91"/>
    </row>
    <row r="53" spans="1:30" x14ac:dyDescent="0.25"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8"/>
      <c r="O53" s="105"/>
      <c r="P53" s="105"/>
      <c r="Q53" s="105"/>
      <c r="R53" s="105"/>
      <c r="S53" s="105"/>
      <c r="T53" s="105"/>
      <c r="U53" s="105"/>
      <c r="V53" s="105"/>
      <c r="W53" s="109"/>
      <c r="X53" s="91"/>
    </row>
    <row r="54" spans="1:30" x14ac:dyDescent="0.25"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93">
        <f>K30</f>
        <v>7.5647507595373149</v>
      </c>
      <c r="O54" s="104"/>
      <c r="P54" s="104"/>
      <c r="Q54" s="196">
        <f>K30</f>
        <v>7.5647507595373149</v>
      </c>
      <c r="R54" s="104"/>
      <c r="S54" s="104"/>
      <c r="T54" s="196">
        <f>K30</f>
        <v>7.5647507595373149</v>
      </c>
      <c r="U54" s="104"/>
      <c r="V54" s="104"/>
      <c r="W54" s="197">
        <f>K30</f>
        <v>7.5647507595373149</v>
      </c>
      <c r="X54" s="91">
        <v>0.65</v>
      </c>
    </row>
    <row r="55" spans="1:30" x14ac:dyDescent="0.25">
      <c r="Z55" s="161" t="s">
        <v>225</v>
      </c>
      <c r="AB55" s="133" t="s">
        <v>264</v>
      </c>
      <c r="AC55" s="105"/>
      <c r="AD55" s="105" t="s">
        <v>286</v>
      </c>
    </row>
    <row r="56" spans="1:30" x14ac:dyDescent="0.25">
      <c r="A56" s="161" t="s">
        <v>263</v>
      </c>
      <c r="B56" s="156"/>
      <c r="C56" s="156"/>
      <c r="D56" s="211">
        <f>D35+D42+D49</f>
        <v>35.669517996966754</v>
      </c>
      <c r="E56" s="156"/>
      <c r="F56" s="156"/>
      <c r="G56" s="211">
        <f>G30+G35+G42+G49</f>
        <v>38.476413810784805</v>
      </c>
      <c r="H56" s="156"/>
      <c r="I56" s="156"/>
      <c r="J56" s="156"/>
      <c r="K56" s="211">
        <f>K30+K37+K42+K49</f>
        <v>60.10458640370674</v>
      </c>
      <c r="L56" s="156"/>
      <c r="M56" s="156"/>
      <c r="N56" s="211">
        <f>N37+N45+N54</f>
        <v>29.706490766490138</v>
      </c>
      <c r="O56" s="156"/>
      <c r="P56" s="156"/>
      <c r="Q56" s="211">
        <f>Q37+Q45+Q54</f>
        <v>39.56456992581461</v>
      </c>
      <c r="R56" s="156"/>
      <c r="S56" s="156"/>
      <c r="T56" s="211">
        <f>T30+T37+T45+T54</f>
        <v>56.209534474858884</v>
      </c>
      <c r="U56" s="156"/>
      <c r="V56" s="156"/>
      <c r="W56" s="211">
        <f>W30+W37+W45+W54</f>
        <v>56.209534474858884</v>
      </c>
      <c r="X56" s="156"/>
      <c r="Y56" s="156"/>
      <c r="Z56" s="211">
        <f>D56+G56+K56+N56+Q56+T56+W56</f>
        <v>315.94064785348075</v>
      </c>
      <c r="AB56" s="133"/>
      <c r="AC56" s="105"/>
      <c r="AD56" s="105"/>
    </row>
    <row r="57" spans="1:30" x14ac:dyDescent="0.25">
      <c r="A57" s="161"/>
      <c r="B57" s="156"/>
      <c r="C57" s="156"/>
      <c r="D57" s="211"/>
      <c r="E57" s="156"/>
      <c r="F57" s="156"/>
      <c r="G57" s="211"/>
      <c r="H57" s="156"/>
      <c r="I57" s="156"/>
      <c r="J57" s="156"/>
      <c r="K57" s="211"/>
      <c r="L57" s="156"/>
      <c r="M57" s="156"/>
      <c r="N57" s="211"/>
      <c r="O57" s="156"/>
      <c r="P57" s="156"/>
      <c r="Q57" s="211"/>
      <c r="R57" s="156"/>
      <c r="S57" s="156"/>
      <c r="T57" s="211"/>
      <c r="U57" s="156"/>
      <c r="V57" s="156"/>
      <c r="W57" s="211"/>
      <c r="X57" s="156"/>
      <c r="Y57" s="156"/>
      <c r="Z57" s="211"/>
      <c r="AB57" s="135">
        <f>Z58/Z56</f>
        <v>14.611432848922934</v>
      </c>
      <c r="AC57" s="105"/>
      <c r="AD57" s="105">
        <v>14.48</v>
      </c>
    </row>
    <row r="58" spans="1:30" x14ac:dyDescent="0.25">
      <c r="A58" s="161" t="s">
        <v>260</v>
      </c>
      <c r="B58" s="156"/>
      <c r="C58" s="156"/>
      <c r="D58" s="211">
        <f>D56*D28</f>
        <v>30.319090297421738</v>
      </c>
      <c r="E58" s="156"/>
      <c r="F58" s="156"/>
      <c r="G58" s="211">
        <f>G56*G28</f>
        <v>180.83914491068859</v>
      </c>
      <c r="H58" s="156"/>
      <c r="I58" s="156"/>
      <c r="J58" s="156"/>
      <c r="K58" s="211">
        <f>K56*K28</f>
        <v>552.96219491410193</v>
      </c>
      <c r="L58" s="156"/>
      <c r="M58" s="156"/>
      <c r="N58" s="211">
        <f>N56*N28</f>
        <v>401.03762534761688</v>
      </c>
      <c r="O58" s="156"/>
      <c r="P58" s="156"/>
      <c r="Q58" s="211">
        <f>Q56*Q28</f>
        <v>700.29288768691856</v>
      </c>
      <c r="R58" s="156"/>
      <c r="S58" s="156"/>
      <c r="T58" s="211">
        <f>T56*T28</f>
        <v>1255.7210001683475</v>
      </c>
      <c r="U58" s="156"/>
      <c r="V58" s="156"/>
      <c r="W58" s="211">
        <f>W56*W28</f>
        <v>1495.1736170312463</v>
      </c>
      <c r="X58" s="156"/>
      <c r="Y58" s="156"/>
      <c r="Z58" s="211">
        <f>D58+G58+K58+N58+Q58+T58+W58</f>
        <v>4616.3455603563416</v>
      </c>
    </row>
    <row r="59" spans="1:30" x14ac:dyDescent="0.25">
      <c r="A59" s="161"/>
      <c r="B59" s="156"/>
      <c r="C59" s="156"/>
      <c r="D59" s="211"/>
      <c r="E59" s="156"/>
      <c r="F59" s="156"/>
      <c r="G59" s="211"/>
      <c r="H59" s="156"/>
      <c r="I59" s="156"/>
      <c r="J59" s="156"/>
      <c r="K59" s="211"/>
      <c r="L59" s="156"/>
      <c r="M59" s="156"/>
      <c r="N59" s="211"/>
      <c r="O59" s="156"/>
      <c r="P59" s="156"/>
      <c r="Q59" s="211"/>
      <c r="R59" s="156"/>
      <c r="S59" s="156"/>
      <c r="T59" s="211"/>
      <c r="U59" s="156"/>
      <c r="V59" s="156"/>
      <c r="W59" s="211"/>
      <c r="X59" s="156"/>
      <c r="Y59" s="156"/>
      <c r="Z59" s="211"/>
    </row>
    <row r="60" spans="1:30" x14ac:dyDescent="0.25">
      <c r="A60" s="161" t="s">
        <v>261</v>
      </c>
      <c r="B60" s="156"/>
      <c r="C60" s="156"/>
      <c r="D60" s="211">
        <f>D56*(D28^2)</f>
        <v>25.771226752808477</v>
      </c>
      <c r="E60" s="156"/>
      <c r="F60" s="156"/>
      <c r="G60" s="211">
        <f>G56*(G28^2)</f>
        <v>849.94398108023654</v>
      </c>
      <c r="H60" s="156"/>
      <c r="I60" s="156"/>
      <c r="J60" s="156"/>
      <c r="K60" s="211">
        <f>K56*(K28^2)</f>
        <v>5087.2521932097379</v>
      </c>
      <c r="L60" s="156"/>
      <c r="M60" s="156"/>
      <c r="N60" s="211">
        <f>N56*(N28^2)</f>
        <v>5414.0079421928276</v>
      </c>
      <c r="O60" s="156"/>
      <c r="P60" s="156"/>
      <c r="Q60" s="211">
        <f>Q56*(Q28^2)</f>
        <v>12395.184112058458</v>
      </c>
      <c r="R60" s="156"/>
      <c r="S60" s="156"/>
      <c r="T60" s="211">
        <f>T56*(T28^2)</f>
        <v>28052.807143760881</v>
      </c>
      <c r="U60" s="156"/>
      <c r="V60" s="156"/>
      <c r="W60" s="211">
        <f>W56*(W28^2)</f>
        <v>39771.618213031157</v>
      </c>
      <c r="X60" s="156"/>
      <c r="Y60" s="156"/>
      <c r="Z60" s="211">
        <f>D60+G60+K60+N60+Q60+T60+W60</f>
        <v>91596.584812086105</v>
      </c>
    </row>
    <row r="61" spans="1:30" x14ac:dyDescent="0.25">
      <c r="A61" s="161"/>
      <c r="B61" s="156"/>
      <c r="C61" s="156"/>
      <c r="D61" s="211"/>
      <c r="E61" s="156"/>
      <c r="F61" s="156"/>
      <c r="G61" s="211"/>
      <c r="H61" s="156"/>
      <c r="I61" s="156"/>
      <c r="J61" s="156"/>
      <c r="K61" s="211"/>
      <c r="L61" s="156"/>
      <c r="M61" s="156"/>
      <c r="N61" s="211"/>
      <c r="O61" s="156"/>
      <c r="P61" s="156"/>
      <c r="Q61" s="211"/>
      <c r="R61" s="156"/>
      <c r="S61" s="156"/>
      <c r="T61" s="211"/>
      <c r="U61" s="156"/>
      <c r="V61" s="156"/>
      <c r="W61" s="211"/>
      <c r="X61" s="156"/>
      <c r="Y61" s="156"/>
      <c r="Z61" s="211"/>
    </row>
  </sheetData>
  <mergeCells count="1">
    <mergeCell ref="Z1:AB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0"/>
  <sheetViews>
    <sheetView topLeftCell="C40" zoomScale="70" zoomScaleNormal="70" workbookViewId="0">
      <selection activeCell="AA26" sqref="AA26"/>
    </sheetView>
  </sheetViews>
  <sheetFormatPr defaultRowHeight="15" x14ac:dyDescent="0.25"/>
  <sheetData>
    <row r="1" spans="2:35" x14ac:dyDescent="0.25">
      <c r="B1" s="105" t="s">
        <v>257</v>
      </c>
      <c r="C1" s="105" t="s">
        <v>258</v>
      </c>
      <c r="D1">
        <v>0.85</v>
      </c>
      <c r="F1" s="105"/>
      <c r="G1" s="105">
        <v>4.7</v>
      </c>
      <c r="H1" s="105"/>
      <c r="I1" s="105"/>
      <c r="J1" s="105"/>
      <c r="K1" s="105">
        <v>9.1999999999999993</v>
      </c>
      <c r="L1" s="105"/>
      <c r="M1" s="105"/>
      <c r="N1" s="105">
        <v>13.5</v>
      </c>
      <c r="O1" s="105"/>
      <c r="P1" s="105"/>
      <c r="Q1" s="105">
        <v>17.7</v>
      </c>
      <c r="R1" s="105"/>
      <c r="S1" s="105"/>
      <c r="T1" s="105">
        <v>22.34</v>
      </c>
      <c r="U1" s="105"/>
      <c r="V1" s="105"/>
      <c r="W1" s="105">
        <v>26.6</v>
      </c>
      <c r="X1" s="91"/>
      <c r="Z1" s="466" t="s">
        <v>259</v>
      </c>
      <c r="AA1" s="466"/>
      <c r="AB1" s="466"/>
      <c r="AC1" s="120" t="s">
        <v>260</v>
      </c>
      <c r="AD1" s="120"/>
      <c r="AE1" s="120" t="s">
        <v>261</v>
      </c>
      <c r="AG1" s="133" t="s">
        <v>262</v>
      </c>
      <c r="AH1" s="105"/>
      <c r="AI1" s="105" t="s">
        <v>289</v>
      </c>
    </row>
    <row r="2" spans="2:35" x14ac:dyDescent="0.25">
      <c r="B2" s="91">
        <v>13.95</v>
      </c>
      <c r="C2" s="105"/>
      <c r="D2" s="105"/>
      <c r="E2" s="105"/>
      <c r="F2" s="105"/>
      <c r="G2" s="114">
        <f>D21</f>
        <v>15.436768653433358</v>
      </c>
      <c r="H2" s="158"/>
      <c r="I2" s="158"/>
      <c r="J2" s="158"/>
      <c r="K2" s="164">
        <f>D21</f>
        <v>15.436768653433358</v>
      </c>
      <c r="L2" s="158"/>
      <c r="M2" s="158"/>
      <c r="N2" s="106"/>
      <c r="O2" s="105"/>
      <c r="P2" s="105"/>
      <c r="Q2" s="107"/>
      <c r="R2" s="158"/>
      <c r="S2" s="158"/>
      <c r="T2" s="164">
        <f>N26</f>
        <v>15.436768653433358</v>
      </c>
      <c r="U2" s="158"/>
      <c r="V2" s="158"/>
      <c r="W2" s="165">
        <f>D21</f>
        <v>15.436768653433358</v>
      </c>
      <c r="Z2" s="15"/>
      <c r="AA2" s="157">
        <f>G2+K2+T2+W2</f>
        <v>61.747074613733432</v>
      </c>
      <c r="AB2" s="157"/>
      <c r="AC2" s="157">
        <f>AA2*B2</f>
        <v>861.37169086158133</v>
      </c>
      <c r="AD2" s="157"/>
      <c r="AE2" s="157">
        <f>AA2*(X30^2)</f>
        <v>12016.13508751906</v>
      </c>
      <c r="AG2" s="133"/>
      <c r="AH2" s="105"/>
      <c r="AI2" s="105"/>
    </row>
    <row r="3" spans="2:35" x14ac:dyDescent="0.25">
      <c r="B3" s="91"/>
      <c r="C3" s="105"/>
      <c r="D3" s="105"/>
      <c r="E3" s="105"/>
      <c r="F3" s="105"/>
      <c r="G3" s="108"/>
      <c r="H3" s="105"/>
      <c r="I3" s="105"/>
      <c r="J3" s="105"/>
      <c r="K3" s="105"/>
      <c r="L3" s="105"/>
      <c r="M3" s="105"/>
      <c r="N3" s="109"/>
      <c r="O3" s="105"/>
      <c r="P3" s="105"/>
      <c r="Q3" s="108"/>
      <c r="R3" s="105"/>
      <c r="S3" s="105"/>
      <c r="T3" s="105"/>
      <c r="U3" s="105"/>
      <c r="V3" s="105"/>
      <c r="W3" s="109"/>
      <c r="Z3" s="15"/>
      <c r="AA3" s="157"/>
      <c r="AB3" s="157"/>
      <c r="AC3" s="157"/>
      <c r="AD3" s="157"/>
      <c r="AE3" s="157"/>
      <c r="AG3" s="135">
        <f>AC28/AA28</f>
        <v>6.7197766360665092</v>
      </c>
      <c r="AH3" s="105"/>
      <c r="AI3" s="208">
        <v>7.42</v>
      </c>
    </row>
    <row r="4" spans="2:35" x14ac:dyDescent="0.25">
      <c r="B4" s="91"/>
      <c r="C4" s="105"/>
      <c r="D4" s="105"/>
      <c r="E4" s="105"/>
      <c r="F4" s="105"/>
      <c r="G4" s="108"/>
      <c r="H4" s="105"/>
      <c r="I4" s="105"/>
      <c r="J4" s="105"/>
      <c r="K4" s="105"/>
      <c r="L4" s="105"/>
      <c r="M4" s="105"/>
      <c r="N4" s="109"/>
      <c r="O4" s="105"/>
      <c r="P4" s="105"/>
      <c r="Q4" s="108"/>
      <c r="R4" s="105"/>
      <c r="S4" s="105"/>
      <c r="T4" s="105"/>
      <c r="U4" s="105"/>
      <c r="V4" s="105"/>
      <c r="W4" s="109"/>
      <c r="Z4" s="15"/>
      <c r="AA4" s="157"/>
      <c r="AB4" s="157"/>
      <c r="AC4" s="157"/>
      <c r="AD4" s="157"/>
      <c r="AE4" s="157"/>
    </row>
    <row r="5" spans="2:35" x14ac:dyDescent="0.25">
      <c r="B5" s="91"/>
      <c r="C5" s="105"/>
      <c r="D5" s="105"/>
      <c r="E5" s="105"/>
      <c r="F5" s="105"/>
      <c r="G5" s="108"/>
      <c r="H5" s="105"/>
      <c r="I5" s="105"/>
      <c r="J5" s="105"/>
      <c r="K5" s="105"/>
      <c r="L5" s="105"/>
      <c r="M5" s="105"/>
      <c r="N5" s="109"/>
      <c r="O5" s="105"/>
      <c r="P5" s="105"/>
      <c r="Q5" s="108"/>
      <c r="R5" s="105"/>
      <c r="S5" s="105"/>
      <c r="T5" s="105"/>
      <c r="U5" s="105"/>
      <c r="V5" s="105"/>
      <c r="W5" s="109"/>
      <c r="Z5" s="15"/>
      <c r="AA5" s="157"/>
      <c r="AB5" s="157"/>
      <c r="AC5" s="157"/>
      <c r="AD5" s="157"/>
      <c r="AE5" s="157"/>
    </row>
    <row r="6" spans="2:35" x14ac:dyDescent="0.25">
      <c r="B6" s="91"/>
      <c r="C6" s="105"/>
      <c r="D6" s="105"/>
      <c r="E6" s="105"/>
      <c r="F6" s="105"/>
      <c r="G6" s="108"/>
      <c r="H6" s="105"/>
      <c r="I6" s="105"/>
      <c r="J6" s="105"/>
      <c r="K6" s="105"/>
      <c r="L6" s="105"/>
      <c r="M6" s="105"/>
      <c r="N6" s="109"/>
      <c r="O6" s="105"/>
      <c r="P6" s="105"/>
      <c r="Q6" s="108"/>
      <c r="R6" s="105"/>
      <c r="S6" s="105"/>
      <c r="T6" s="105"/>
      <c r="U6" s="105"/>
      <c r="V6" s="105"/>
      <c r="W6" s="109"/>
      <c r="Z6" s="15"/>
      <c r="AA6" s="157"/>
      <c r="AB6" s="157"/>
      <c r="AC6" s="157"/>
      <c r="AD6" s="157"/>
      <c r="AE6" s="157"/>
    </row>
    <row r="7" spans="2:35" x14ac:dyDescent="0.25">
      <c r="B7" s="91">
        <v>11.85</v>
      </c>
      <c r="C7" s="105"/>
      <c r="D7" s="114">
        <f>D21</f>
        <v>15.436768653433358</v>
      </c>
      <c r="E7" s="158"/>
      <c r="F7" s="158"/>
      <c r="G7" s="162">
        <f>D21</f>
        <v>15.436768653433358</v>
      </c>
      <c r="H7" s="105"/>
      <c r="I7" s="105"/>
      <c r="J7" s="105"/>
      <c r="K7" s="105"/>
      <c r="L7" s="105"/>
      <c r="M7" s="105"/>
      <c r="N7" s="109"/>
      <c r="O7" s="105"/>
      <c r="P7" s="105"/>
      <c r="Q7" s="108"/>
      <c r="R7" s="105"/>
      <c r="S7" s="105"/>
      <c r="T7" s="105"/>
      <c r="U7" s="105"/>
      <c r="V7" s="105"/>
      <c r="W7" s="109"/>
      <c r="Z7" s="15"/>
      <c r="AA7" s="157">
        <f>D7+G7</f>
        <v>30.873537306866716</v>
      </c>
      <c r="AB7" s="157"/>
      <c r="AC7" s="157">
        <f>AA7*B7</f>
        <v>365.85141708637059</v>
      </c>
      <c r="AD7" s="157"/>
      <c r="AE7" s="157">
        <f>AA7*(B7^2)</f>
        <v>4335.3392924734908</v>
      </c>
    </row>
    <row r="8" spans="2:35" x14ac:dyDescent="0.25">
      <c r="B8" s="91"/>
      <c r="C8" s="105"/>
      <c r="D8" s="108"/>
      <c r="E8" s="105"/>
      <c r="F8" s="105"/>
      <c r="G8" s="105"/>
      <c r="H8" s="105"/>
      <c r="I8" s="105"/>
      <c r="J8" s="105"/>
      <c r="K8" s="105"/>
      <c r="L8" s="105"/>
      <c r="M8" s="105"/>
      <c r="N8" s="109">
        <v>13</v>
      </c>
      <c r="O8" s="105"/>
      <c r="P8" s="105"/>
      <c r="Q8" s="108"/>
      <c r="R8" s="105"/>
      <c r="S8" s="105"/>
      <c r="T8" s="105"/>
      <c r="U8" s="105"/>
      <c r="V8" s="105"/>
      <c r="W8" s="109"/>
      <c r="Z8" s="15"/>
      <c r="AA8" s="157"/>
      <c r="AB8" s="157"/>
      <c r="AC8" s="157"/>
      <c r="AD8" s="157"/>
      <c r="AE8" s="157"/>
    </row>
    <row r="9" spans="2:35" x14ac:dyDescent="0.25">
      <c r="B9" s="91">
        <v>10.1</v>
      </c>
      <c r="C9" s="105"/>
      <c r="D9" s="108"/>
      <c r="E9" s="105"/>
      <c r="F9" s="105"/>
      <c r="G9" s="105"/>
      <c r="H9" s="105"/>
      <c r="I9" s="105"/>
      <c r="J9" s="105"/>
      <c r="K9" s="124">
        <f>T17</f>
        <v>3.5852091840472422</v>
      </c>
      <c r="L9" s="105"/>
      <c r="M9" s="105"/>
      <c r="N9" s="122">
        <f>rigidezze!Q20</f>
        <v>8.982362682716424</v>
      </c>
      <c r="O9" s="158"/>
      <c r="P9" s="159"/>
      <c r="Q9" s="167">
        <f>N9</f>
        <v>8.982362682716424</v>
      </c>
      <c r="R9" s="105"/>
      <c r="S9" s="105"/>
      <c r="T9" s="124">
        <f>T17</f>
        <v>3.5852091840472422</v>
      </c>
      <c r="U9" s="105"/>
      <c r="V9" s="105"/>
      <c r="W9" s="127">
        <f>D14</f>
        <v>1.9888322574175896</v>
      </c>
      <c r="Z9" s="15"/>
      <c r="AA9" s="157">
        <f>K9+N9+Q9+T9+W9</f>
        <v>27.123975990944924</v>
      </c>
      <c r="AB9" s="157"/>
      <c r="AC9" s="157">
        <f>AA9*B9</f>
        <v>273.95215750854373</v>
      </c>
      <c r="AD9" s="157"/>
      <c r="AE9" s="157">
        <f>AA9*(X37^2)</f>
        <v>2766.9167908362915</v>
      </c>
    </row>
    <row r="10" spans="2:35" x14ac:dyDescent="0.25">
      <c r="B10" s="91"/>
      <c r="C10" s="105"/>
      <c r="D10" s="108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9"/>
      <c r="Z10" s="15"/>
      <c r="AA10" s="157"/>
      <c r="AB10" s="157"/>
      <c r="AC10" s="157"/>
      <c r="AD10" s="157"/>
      <c r="AE10" s="157"/>
    </row>
    <row r="11" spans="2:35" x14ac:dyDescent="0.25">
      <c r="B11" s="91"/>
      <c r="C11" s="105"/>
      <c r="D11" s="108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9"/>
      <c r="Z11" s="15"/>
      <c r="AA11" s="157"/>
      <c r="AB11" s="157"/>
      <c r="AC11" s="157"/>
      <c r="AD11" s="157"/>
      <c r="AE11" s="157"/>
    </row>
    <row r="12" spans="2:35" x14ac:dyDescent="0.25">
      <c r="B12" s="91"/>
      <c r="C12" s="105"/>
      <c r="D12" s="108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9"/>
      <c r="Z12" s="15"/>
      <c r="AA12" s="157"/>
      <c r="AB12" s="157"/>
      <c r="AC12" s="157"/>
      <c r="AD12" s="157"/>
      <c r="AE12" s="157"/>
    </row>
    <row r="13" spans="2:35" x14ac:dyDescent="0.25">
      <c r="B13" s="91"/>
      <c r="C13" s="105"/>
      <c r="D13" s="108">
        <v>2</v>
      </c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9"/>
      <c r="Z13" s="15"/>
      <c r="AA13" s="157"/>
      <c r="AB13" s="157"/>
      <c r="AC13" s="157"/>
      <c r="AD13" s="157"/>
      <c r="AE13" s="157"/>
    </row>
    <row r="14" spans="2:35" x14ac:dyDescent="0.25">
      <c r="B14" s="91">
        <v>6.39</v>
      </c>
      <c r="C14" s="105"/>
      <c r="D14" s="126">
        <f>rigidezze!R21</f>
        <v>1.9888322574175896</v>
      </c>
      <c r="E14" s="105"/>
      <c r="F14" s="105"/>
      <c r="G14" s="124">
        <f>T17</f>
        <v>3.5852091840472422</v>
      </c>
      <c r="H14" s="105"/>
      <c r="I14" s="105"/>
      <c r="J14" s="105"/>
      <c r="K14" s="125">
        <f>D14</f>
        <v>1.9888322574175896</v>
      </c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9"/>
      <c r="Z14" s="15"/>
      <c r="AA14" s="157">
        <f>D14+G14+K14</f>
        <v>7.5628736988824219</v>
      </c>
      <c r="AB14" s="157"/>
      <c r="AC14" s="157">
        <f>AA14*B14</f>
        <v>48.326762935858675</v>
      </c>
      <c r="AD14" s="157"/>
      <c r="AE14" s="157">
        <f>AA14*(B14^2)</f>
        <v>308.8080151601369</v>
      </c>
    </row>
    <row r="15" spans="2:35" x14ac:dyDescent="0.25">
      <c r="B15" s="91"/>
      <c r="C15" s="105"/>
      <c r="D15" s="108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9"/>
      <c r="Z15" s="15"/>
      <c r="AA15" s="157"/>
      <c r="AB15" s="157"/>
      <c r="AC15" s="157"/>
      <c r="AD15" s="157"/>
      <c r="AE15" s="157"/>
    </row>
    <row r="16" spans="2:35" x14ac:dyDescent="0.25">
      <c r="B16" s="91"/>
      <c r="C16" s="105"/>
      <c r="D16" s="108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>
        <v>22</v>
      </c>
      <c r="U16" s="105"/>
      <c r="V16" s="105"/>
      <c r="W16" s="109"/>
      <c r="Z16" s="15"/>
      <c r="AA16" s="157"/>
      <c r="AB16" s="157"/>
      <c r="AC16" s="157"/>
      <c r="AD16" s="157"/>
      <c r="AE16" s="157"/>
    </row>
    <row r="17" spans="2:31" x14ac:dyDescent="0.25">
      <c r="B17" s="91">
        <v>5.0999999999999996</v>
      </c>
      <c r="C17" s="105"/>
      <c r="D17" s="108"/>
      <c r="E17" s="105"/>
      <c r="F17" s="105"/>
      <c r="G17" s="105"/>
      <c r="H17" s="105"/>
      <c r="I17" s="105"/>
      <c r="J17" s="105"/>
      <c r="K17" s="105"/>
      <c r="L17" s="105"/>
      <c r="M17" s="105"/>
      <c r="N17" s="112">
        <f>D21</f>
        <v>15.436768653433358</v>
      </c>
      <c r="O17" s="105"/>
      <c r="P17" s="105"/>
      <c r="Q17" s="122">
        <f>Q9</f>
        <v>8.982362682716424</v>
      </c>
      <c r="R17" s="105"/>
      <c r="S17" s="105"/>
      <c r="T17" s="124">
        <f>rigidezze!R20</f>
        <v>3.5852091840472422</v>
      </c>
      <c r="U17" s="105"/>
      <c r="V17" s="105"/>
      <c r="W17" s="127">
        <f>D14</f>
        <v>1.9888322574175896</v>
      </c>
      <c r="Z17" s="15"/>
      <c r="AA17" s="157">
        <f>N17+Q17+T17+W17</f>
        <v>29.993172777614614</v>
      </c>
      <c r="AB17" s="157"/>
      <c r="AC17" s="157">
        <f>AA17*B17</f>
        <v>152.96518116583451</v>
      </c>
      <c r="AD17" s="157"/>
      <c r="AE17" s="157">
        <f>AA17*(X45^2)</f>
        <v>780.12242394575605</v>
      </c>
    </row>
    <row r="18" spans="2:31" x14ac:dyDescent="0.25">
      <c r="B18" s="91"/>
      <c r="C18" s="105"/>
      <c r="D18" s="108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9"/>
      <c r="Z18" s="15"/>
      <c r="AA18" s="157"/>
      <c r="AB18" s="157"/>
      <c r="AC18" s="157"/>
      <c r="AD18" s="157"/>
      <c r="AE18" s="157"/>
    </row>
    <row r="19" spans="2:31" x14ac:dyDescent="0.25">
      <c r="B19" s="91"/>
      <c r="C19" s="105"/>
      <c r="D19" s="108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9"/>
      <c r="Z19" s="15"/>
      <c r="AA19" s="157"/>
      <c r="AB19" s="157"/>
      <c r="AC19" s="157"/>
      <c r="AD19" s="157"/>
      <c r="AE19" s="157"/>
    </row>
    <row r="20" spans="2:31" x14ac:dyDescent="0.25">
      <c r="B20" s="91"/>
      <c r="C20" s="105"/>
      <c r="D20" s="108">
        <v>3</v>
      </c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9"/>
      <c r="Z20" s="15"/>
      <c r="AA20" s="157"/>
      <c r="AB20" s="157"/>
      <c r="AC20" s="157"/>
      <c r="AD20" s="157"/>
      <c r="AE20" s="157"/>
    </row>
    <row r="21" spans="2:31" x14ac:dyDescent="0.25">
      <c r="B21" s="91">
        <v>2.75</v>
      </c>
      <c r="C21" s="105"/>
      <c r="D21" s="113">
        <f>rigidezze!Q19</f>
        <v>15.436768653433358</v>
      </c>
      <c r="E21" s="160"/>
      <c r="F21" s="160"/>
      <c r="G21" s="163">
        <f>D21</f>
        <v>15.436768653433358</v>
      </c>
      <c r="H21" s="160"/>
      <c r="I21" s="160"/>
      <c r="J21" s="160"/>
      <c r="K21" s="128">
        <f>T17</f>
        <v>3.5852091840472422</v>
      </c>
      <c r="L21" s="160"/>
      <c r="M21" s="160"/>
      <c r="N21" s="105"/>
      <c r="O21" s="105"/>
      <c r="P21" s="105"/>
      <c r="Q21" s="105"/>
      <c r="R21" s="105"/>
      <c r="S21" s="105"/>
      <c r="T21" s="105"/>
      <c r="U21" s="105"/>
      <c r="V21" s="105"/>
      <c r="W21" s="109"/>
      <c r="Z21" s="15"/>
      <c r="AA21" s="157">
        <f>D21+G21+K21</f>
        <v>34.45874649091396</v>
      </c>
      <c r="AB21" s="157"/>
      <c r="AC21" s="157">
        <f>AA21*B21</f>
        <v>94.761552850013388</v>
      </c>
      <c r="AD21" s="157"/>
      <c r="AE21" s="157">
        <f>AA21*(B21^2)</f>
        <v>260.59427033753684</v>
      </c>
    </row>
    <row r="22" spans="2:31" x14ac:dyDescent="0.25">
      <c r="B22" s="91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8"/>
      <c r="O22" s="105"/>
      <c r="P22" s="105"/>
      <c r="Q22" s="105"/>
      <c r="R22" s="105"/>
      <c r="S22" s="105"/>
      <c r="T22" s="105"/>
      <c r="U22" s="105"/>
      <c r="V22" s="105"/>
      <c r="W22" s="109"/>
      <c r="Z22" s="15"/>
      <c r="AA22" s="157"/>
      <c r="AB22" s="157"/>
      <c r="AC22" s="157"/>
      <c r="AD22" s="157"/>
      <c r="AE22" s="157"/>
    </row>
    <row r="23" spans="2:31" x14ac:dyDescent="0.25">
      <c r="B23" s="91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8"/>
      <c r="O23" s="105"/>
      <c r="P23" s="105"/>
      <c r="Q23" s="105"/>
      <c r="R23" s="105"/>
      <c r="S23" s="105"/>
      <c r="T23" s="105"/>
      <c r="U23" s="105"/>
      <c r="V23" s="105"/>
      <c r="W23" s="109"/>
      <c r="Z23" s="15"/>
      <c r="AA23" s="157"/>
      <c r="AB23" s="157"/>
      <c r="AC23" s="157"/>
      <c r="AD23" s="157"/>
      <c r="AE23" s="157"/>
    </row>
    <row r="24" spans="2:31" x14ac:dyDescent="0.25">
      <c r="B24" s="91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8"/>
      <c r="O24" s="105"/>
      <c r="P24" s="105"/>
      <c r="Q24" s="105"/>
      <c r="R24" s="105"/>
      <c r="S24" s="105"/>
      <c r="T24" s="105"/>
      <c r="U24" s="105"/>
      <c r="V24" s="105"/>
      <c r="W24" s="109"/>
      <c r="Z24" s="15"/>
      <c r="AA24" s="157"/>
      <c r="AB24" s="157"/>
      <c r="AC24" s="157"/>
      <c r="AD24" s="157"/>
      <c r="AE24" s="157"/>
    </row>
    <row r="25" spans="2:31" x14ac:dyDescent="0.25">
      <c r="B25" s="91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8"/>
      <c r="O25" s="105"/>
      <c r="P25" s="105"/>
      <c r="Q25" s="105"/>
      <c r="R25" s="105"/>
      <c r="S25" s="105"/>
      <c r="T25" s="105">
        <v>23</v>
      </c>
      <c r="U25" s="105"/>
      <c r="V25" s="105"/>
      <c r="W25" s="109"/>
      <c r="Z25" s="15"/>
      <c r="AA25" s="157"/>
      <c r="AB25" s="157"/>
      <c r="AC25" s="157"/>
      <c r="AD25" s="157"/>
      <c r="AE25" s="157"/>
    </row>
    <row r="26" spans="2:31" x14ac:dyDescent="0.25">
      <c r="B26" s="91">
        <v>0.65</v>
      </c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13">
        <f>D21</f>
        <v>15.436768653433358</v>
      </c>
      <c r="O26" s="160"/>
      <c r="P26" s="160"/>
      <c r="Q26" s="111">
        <f>T26</f>
        <v>26.46333620453073</v>
      </c>
      <c r="R26" s="160"/>
      <c r="S26" s="160"/>
      <c r="T26" s="111">
        <f>rigidezze!P19</f>
        <v>26.46333620453073</v>
      </c>
      <c r="U26" s="160"/>
      <c r="V26" s="160"/>
      <c r="W26" s="166">
        <f>N26</f>
        <v>15.436768653433358</v>
      </c>
      <c r="Z26" s="15"/>
      <c r="AA26" s="157">
        <f>N26+Q26+T26+W26</f>
        <v>83.800209715928176</v>
      </c>
      <c r="AB26" s="157"/>
      <c r="AC26" s="157">
        <f>AA26*B26</f>
        <v>54.470136315353315</v>
      </c>
      <c r="AD26" s="157"/>
      <c r="AE26" s="157">
        <f>AA26*(X54^2)</f>
        <v>35.405588604979656</v>
      </c>
    </row>
    <row r="27" spans="2:31" x14ac:dyDescent="0.25"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Z27" s="15"/>
      <c r="AA27" s="157"/>
      <c r="AB27" s="157"/>
      <c r="AC27" s="157"/>
      <c r="AD27" s="157"/>
      <c r="AE27" s="157"/>
    </row>
    <row r="28" spans="2:31" x14ac:dyDescent="0.25">
      <c r="B28" s="105" t="s">
        <v>257</v>
      </c>
      <c r="C28" s="105" t="s">
        <v>258</v>
      </c>
      <c r="D28">
        <v>0.85</v>
      </c>
      <c r="F28" s="105"/>
      <c r="G28" s="105">
        <v>4.7</v>
      </c>
      <c r="H28" s="105"/>
      <c r="I28" s="105"/>
      <c r="J28" s="105"/>
      <c r="K28" s="105">
        <v>9.1999999999999993</v>
      </c>
      <c r="L28" s="105"/>
      <c r="M28" s="105"/>
      <c r="N28" s="105">
        <v>13.5</v>
      </c>
      <c r="O28" s="105"/>
      <c r="P28" s="105"/>
      <c r="Q28" s="105">
        <v>17.7</v>
      </c>
      <c r="R28" s="105"/>
      <c r="S28" s="105"/>
      <c r="T28" s="105">
        <v>22.34</v>
      </c>
      <c r="U28" s="105"/>
      <c r="V28" s="105"/>
      <c r="W28" s="105">
        <v>26.6</v>
      </c>
      <c r="Z28" s="120" t="s">
        <v>225</v>
      </c>
      <c r="AA28" s="157">
        <f>AA2+AA7+AA9+AA14+AA17+AA21+AA26</f>
        <v>275.55959059488424</v>
      </c>
      <c r="AB28" s="157"/>
      <c r="AC28" s="157">
        <f>AC2+AC7+AC9+AC14+AC17+AC21+AC26</f>
        <v>1851.6988987235557</v>
      </c>
      <c r="AD28" s="157"/>
      <c r="AE28" s="157">
        <f>AE2+AE7+AE9+AE14+AE17+AE21+AE26</f>
        <v>20503.32146887725</v>
      </c>
    </row>
    <row r="29" spans="2:31" x14ac:dyDescent="0.25">
      <c r="C29" s="105"/>
      <c r="D29" s="105"/>
      <c r="E29" s="105"/>
      <c r="F29" s="105"/>
      <c r="G29" s="105">
        <v>4</v>
      </c>
      <c r="H29" s="105"/>
      <c r="I29" s="105"/>
      <c r="J29" s="105"/>
      <c r="K29" s="105">
        <v>8</v>
      </c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</row>
    <row r="30" spans="2:31" x14ac:dyDescent="0.25">
      <c r="B30" s="91">
        <v>13.95</v>
      </c>
      <c r="D30" s="105"/>
      <c r="E30" s="105"/>
      <c r="F30" s="105"/>
      <c r="G30" s="130">
        <f>rigidezze!R27</f>
        <v>7.4734857469728491</v>
      </c>
      <c r="H30" s="158"/>
      <c r="I30" s="158"/>
      <c r="J30" s="158"/>
      <c r="K30" s="129">
        <f>rigidezze!Q27</f>
        <v>8.7129642430861924</v>
      </c>
      <c r="L30" s="158"/>
      <c r="M30" s="158"/>
      <c r="N30" s="106"/>
      <c r="O30" s="105"/>
      <c r="P30" s="105"/>
      <c r="Q30" s="107"/>
      <c r="R30" s="158"/>
      <c r="S30" s="158"/>
      <c r="T30" s="129">
        <f>K30</f>
        <v>8.7129642430861924</v>
      </c>
      <c r="U30" s="158"/>
      <c r="V30" s="158"/>
      <c r="W30" s="176">
        <f>K30</f>
        <v>8.7129642430861924</v>
      </c>
      <c r="X30" s="91">
        <v>13.95</v>
      </c>
    </row>
    <row r="31" spans="2:31" x14ac:dyDescent="0.25">
      <c r="D31" s="105"/>
      <c r="E31" s="105"/>
      <c r="F31" s="105"/>
      <c r="G31" s="108"/>
      <c r="H31" s="105"/>
      <c r="I31" s="105"/>
      <c r="J31" s="105"/>
      <c r="K31" s="105"/>
      <c r="L31" s="105"/>
      <c r="M31" s="105"/>
      <c r="N31" s="109"/>
      <c r="O31" s="105"/>
      <c r="P31" s="105"/>
      <c r="Q31" s="108"/>
      <c r="R31" s="105"/>
      <c r="S31" s="105"/>
      <c r="T31" s="105"/>
      <c r="U31" s="105"/>
      <c r="V31" s="105"/>
      <c r="W31" s="109"/>
      <c r="X31" s="91"/>
    </row>
    <row r="32" spans="2:31" x14ac:dyDescent="0.25">
      <c r="D32" s="105"/>
      <c r="E32" s="105"/>
      <c r="F32" s="105"/>
      <c r="G32" s="108"/>
      <c r="H32" s="105"/>
      <c r="I32" s="105"/>
      <c r="J32" s="105"/>
      <c r="K32" s="105"/>
      <c r="L32" s="105"/>
      <c r="M32" s="105"/>
      <c r="N32" s="109"/>
      <c r="O32" s="105"/>
      <c r="P32" s="105"/>
      <c r="Q32" s="108"/>
      <c r="R32" s="105"/>
      <c r="S32" s="105"/>
      <c r="T32" s="105"/>
      <c r="U32" s="105"/>
      <c r="V32" s="105"/>
      <c r="W32" s="109"/>
      <c r="X32" s="91"/>
    </row>
    <row r="33" spans="2:24" x14ac:dyDescent="0.25">
      <c r="D33" s="105"/>
      <c r="E33" s="105"/>
      <c r="F33" s="105"/>
      <c r="G33" s="108"/>
      <c r="H33" s="105"/>
      <c r="I33" s="105"/>
      <c r="J33" s="105"/>
      <c r="K33" s="105"/>
      <c r="L33" s="105"/>
      <c r="M33" s="105"/>
      <c r="N33" s="109"/>
      <c r="O33" s="105"/>
      <c r="P33" s="105"/>
      <c r="Q33" s="108"/>
      <c r="R33" s="105"/>
      <c r="S33" s="105"/>
      <c r="T33" s="105"/>
      <c r="U33" s="105"/>
      <c r="V33" s="105"/>
      <c r="W33" s="109"/>
      <c r="X33" s="91"/>
    </row>
    <row r="34" spans="2:24" x14ac:dyDescent="0.25">
      <c r="D34" s="105"/>
      <c r="E34" s="105"/>
      <c r="F34" s="105"/>
      <c r="G34" s="108"/>
      <c r="H34" s="105"/>
      <c r="I34" s="105"/>
      <c r="J34" s="105"/>
      <c r="K34" s="105"/>
      <c r="L34" s="105"/>
      <c r="M34" s="105"/>
      <c r="N34" s="109"/>
      <c r="O34" s="105"/>
      <c r="P34" s="105"/>
      <c r="Q34" s="108"/>
      <c r="R34" s="105"/>
      <c r="S34" s="105"/>
      <c r="T34" s="105"/>
      <c r="U34" s="105"/>
      <c r="V34" s="105"/>
      <c r="W34" s="109"/>
      <c r="X34" s="91"/>
    </row>
    <row r="35" spans="2:24" x14ac:dyDescent="0.25">
      <c r="B35" s="91">
        <v>11.85</v>
      </c>
      <c r="D35" s="172">
        <f>G35</f>
        <v>8.7129642430861924</v>
      </c>
      <c r="E35" s="158"/>
      <c r="F35" s="158"/>
      <c r="G35" s="171">
        <f>K30</f>
        <v>8.7129642430861924</v>
      </c>
      <c r="H35" s="105"/>
      <c r="I35" s="105"/>
      <c r="J35" s="105"/>
      <c r="K35" s="105"/>
      <c r="L35" s="105"/>
      <c r="M35" s="105"/>
      <c r="N35" s="109"/>
      <c r="O35" s="105"/>
      <c r="P35" s="105"/>
      <c r="Q35" s="108"/>
      <c r="R35" s="105"/>
      <c r="S35" s="105"/>
      <c r="T35" s="105"/>
      <c r="U35" s="105"/>
      <c r="V35" s="105"/>
      <c r="W35" s="109"/>
      <c r="X35" s="91"/>
    </row>
    <row r="36" spans="2:24" x14ac:dyDescent="0.25">
      <c r="D36" s="108"/>
      <c r="E36" s="105"/>
      <c r="F36" s="105"/>
      <c r="G36" s="105"/>
      <c r="H36" s="105"/>
      <c r="I36" s="105"/>
      <c r="J36" s="105"/>
      <c r="K36" s="105"/>
      <c r="L36" s="105"/>
      <c r="M36" s="105"/>
      <c r="N36" s="109">
        <v>13</v>
      </c>
      <c r="O36" s="105"/>
      <c r="P36" s="105"/>
      <c r="Q36" s="108"/>
      <c r="R36" s="105"/>
      <c r="S36" s="105"/>
      <c r="T36" s="105"/>
      <c r="U36" s="105"/>
      <c r="V36" s="105"/>
      <c r="W36" s="109"/>
      <c r="X36" s="91"/>
    </row>
    <row r="37" spans="2:24" x14ac:dyDescent="0.25">
      <c r="D37" s="108"/>
      <c r="E37" s="105"/>
      <c r="F37" s="105"/>
      <c r="G37" s="105"/>
      <c r="H37" s="105"/>
      <c r="I37" s="105"/>
      <c r="J37" s="105"/>
      <c r="K37" s="110">
        <f>G42</f>
        <v>25.333748699753201</v>
      </c>
      <c r="L37" s="105"/>
      <c r="M37" s="105"/>
      <c r="N37" s="112">
        <f>rigidezze!Q26</f>
        <v>14.681193488833213</v>
      </c>
      <c r="O37" s="158"/>
      <c r="P37" s="159"/>
      <c r="Q37" s="177">
        <f>N37</f>
        <v>14.681193488833213</v>
      </c>
      <c r="R37" s="105"/>
      <c r="S37" s="105"/>
      <c r="T37" s="110">
        <f>G42</f>
        <v>25.333748699753201</v>
      </c>
      <c r="U37" s="105"/>
      <c r="V37" s="105"/>
      <c r="W37" s="169">
        <f>G42</f>
        <v>25.333748699753201</v>
      </c>
      <c r="X37" s="91">
        <v>10.1</v>
      </c>
    </row>
    <row r="38" spans="2:24" x14ac:dyDescent="0.25">
      <c r="D38" s="108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9"/>
      <c r="X38" s="91"/>
    </row>
    <row r="39" spans="2:24" x14ac:dyDescent="0.25">
      <c r="D39" s="108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9"/>
      <c r="X39" s="91"/>
    </row>
    <row r="40" spans="2:24" x14ac:dyDescent="0.25">
      <c r="D40" s="108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9"/>
      <c r="X40" s="91"/>
    </row>
    <row r="41" spans="2:24" x14ac:dyDescent="0.25">
      <c r="D41" s="108"/>
      <c r="E41" s="105"/>
      <c r="F41" s="105"/>
      <c r="G41" s="105">
        <v>6</v>
      </c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9"/>
      <c r="X41" s="91"/>
    </row>
    <row r="42" spans="2:24" x14ac:dyDescent="0.25">
      <c r="B42" s="91">
        <v>6.39</v>
      </c>
      <c r="D42" s="168">
        <f>G42</f>
        <v>25.333748699753201</v>
      </c>
      <c r="E42" s="105"/>
      <c r="F42" s="105"/>
      <c r="G42" s="110">
        <f>rigidezze!P26</f>
        <v>25.333748699753201</v>
      </c>
      <c r="H42" s="105"/>
      <c r="I42" s="105"/>
      <c r="J42" s="105"/>
      <c r="K42" s="110">
        <f>G42</f>
        <v>25.333748699753201</v>
      </c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9"/>
      <c r="X42" s="91"/>
    </row>
    <row r="43" spans="2:24" x14ac:dyDescent="0.25">
      <c r="D43" s="108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9"/>
      <c r="X43" s="91"/>
    </row>
    <row r="44" spans="2:24" x14ac:dyDescent="0.25">
      <c r="D44" s="108"/>
      <c r="E44" s="105"/>
      <c r="F44" s="105"/>
      <c r="G44" s="105"/>
      <c r="H44" s="105"/>
      <c r="I44" s="105"/>
      <c r="J44" s="105"/>
      <c r="K44" s="105"/>
      <c r="L44" s="105"/>
      <c r="M44" s="105"/>
      <c r="N44" s="105">
        <v>14</v>
      </c>
      <c r="O44" s="105"/>
      <c r="P44" s="105"/>
      <c r="Q44" s="105"/>
      <c r="R44" s="105"/>
      <c r="S44" s="105"/>
      <c r="T44" s="105"/>
      <c r="U44" s="105"/>
      <c r="V44" s="105"/>
      <c r="W44" s="109"/>
      <c r="X44" s="91"/>
    </row>
    <row r="45" spans="2:24" x14ac:dyDescent="0.25">
      <c r="D45" s="108"/>
      <c r="E45" s="105"/>
      <c r="F45" s="105"/>
      <c r="G45" s="105"/>
      <c r="H45" s="105"/>
      <c r="I45" s="105"/>
      <c r="J45" s="105"/>
      <c r="K45" s="105"/>
      <c r="L45" s="105"/>
      <c r="M45" s="105"/>
      <c r="N45" s="123">
        <f>rigidezze!P27</f>
        <v>11.743655791615245</v>
      </c>
      <c r="O45" s="105"/>
      <c r="P45" s="105"/>
      <c r="Q45" s="110">
        <f>K42</f>
        <v>25.333748699753201</v>
      </c>
      <c r="R45" s="105"/>
      <c r="S45" s="105"/>
      <c r="T45" s="110">
        <f>G42</f>
        <v>25.333748699753201</v>
      </c>
      <c r="U45" s="105"/>
      <c r="V45" s="105"/>
      <c r="W45" s="170">
        <f>G42</f>
        <v>25.333748699753201</v>
      </c>
      <c r="X45" s="91">
        <v>5.0999999999999996</v>
      </c>
    </row>
    <row r="46" spans="2:24" x14ac:dyDescent="0.25">
      <c r="D46" s="108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9"/>
      <c r="X46" s="91"/>
    </row>
    <row r="47" spans="2:24" x14ac:dyDescent="0.25">
      <c r="D47" s="108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9"/>
      <c r="X47" s="91"/>
    </row>
    <row r="48" spans="2:24" x14ac:dyDescent="0.25">
      <c r="D48" s="108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9"/>
      <c r="X48" s="91"/>
    </row>
    <row r="49" spans="1:30" x14ac:dyDescent="0.25">
      <c r="B49" s="91">
        <v>2.75</v>
      </c>
      <c r="D49" s="173">
        <f>K30</f>
        <v>8.7129642430861924</v>
      </c>
      <c r="E49" s="160"/>
      <c r="F49" s="160"/>
      <c r="G49" s="174">
        <f>K30</f>
        <v>8.7129642430861924</v>
      </c>
      <c r="H49" s="160"/>
      <c r="I49" s="160"/>
      <c r="J49" s="160"/>
      <c r="K49" s="163">
        <f>N37</f>
        <v>14.681193488833213</v>
      </c>
      <c r="L49" s="160"/>
      <c r="M49" s="160"/>
      <c r="N49" s="105"/>
      <c r="O49" s="105"/>
      <c r="P49" s="105"/>
      <c r="Q49" s="105"/>
      <c r="R49" s="105"/>
      <c r="S49" s="105"/>
      <c r="T49" s="105"/>
      <c r="U49" s="105"/>
      <c r="V49" s="105"/>
      <c r="W49" s="109"/>
      <c r="X49" s="91"/>
    </row>
    <row r="50" spans="1:30" x14ac:dyDescent="0.25"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8"/>
      <c r="O50" s="105"/>
      <c r="P50" s="105"/>
      <c r="Q50" s="105"/>
      <c r="R50" s="105"/>
      <c r="S50" s="105"/>
      <c r="T50" s="105"/>
      <c r="U50" s="105"/>
      <c r="V50" s="105"/>
      <c r="W50" s="109"/>
      <c r="X50" s="91"/>
    </row>
    <row r="51" spans="1:30" x14ac:dyDescent="0.25"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8"/>
      <c r="O51" s="105"/>
      <c r="P51" s="105"/>
      <c r="Q51" s="105"/>
      <c r="R51" s="105"/>
      <c r="S51" s="105"/>
      <c r="T51" s="105"/>
      <c r="U51" s="105"/>
      <c r="V51" s="105"/>
      <c r="W51" s="109"/>
      <c r="X51" s="91"/>
    </row>
    <row r="52" spans="1:30" x14ac:dyDescent="0.25"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8"/>
      <c r="O52" s="105"/>
      <c r="P52" s="105"/>
      <c r="Q52" s="105"/>
      <c r="R52" s="105"/>
      <c r="S52" s="105"/>
      <c r="T52" s="105"/>
      <c r="U52" s="105"/>
      <c r="V52" s="105"/>
      <c r="W52" s="109"/>
      <c r="X52" s="91"/>
    </row>
    <row r="53" spans="1:30" x14ac:dyDescent="0.25"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8"/>
      <c r="O53" s="105"/>
      <c r="P53" s="105"/>
      <c r="Q53" s="105"/>
      <c r="R53" s="105"/>
      <c r="S53" s="105"/>
      <c r="T53" s="105"/>
      <c r="U53" s="105"/>
      <c r="V53" s="105"/>
      <c r="W53" s="109"/>
      <c r="X53" s="91"/>
    </row>
    <row r="54" spans="1:30" x14ac:dyDescent="0.25"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73">
        <f>K30</f>
        <v>8.7129642430861924</v>
      </c>
      <c r="O54" s="160"/>
      <c r="P54" s="160"/>
      <c r="Q54" s="174">
        <f>N54</f>
        <v>8.7129642430861924</v>
      </c>
      <c r="R54" s="160"/>
      <c r="S54" s="160"/>
      <c r="T54" s="174">
        <f>K30</f>
        <v>8.7129642430861924</v>
      </c>
      <c r="U54" s="160"/>
      <c r="V54" s="160"/>
      <c r="W54" s="175">
        <f>K30</f>
        <v>8.7129642430861924</v>
      </c>
      <c r="X54" s="91">
        <v>0.65</v>
      </c>
    </row>
    <row r="55" spans="1:30" x14ac:dyDescent="0.25">
      <c r="Z55" t="s">
        <v>225</v>
      </c>
      <c r="AB55" s="133" t="s">
        <v>264</v>
      </c>
      <c r="AC55" s="105"/>
      <c r="AD55" s="105" t="s">
        <v>286</v>
      </c>
    </row>
    <row r="56" spans="1:30" x14ac:dyDescent="0.25">
      <c r="A56" s="434" t="s">
        <v>263</v>
      </c>
      <c r="B56" s="443"/>
      <c r="C56" s="435"/>
      <c r="D56" s="157">
        <f>D35+D42+D49</f>
        <v>42.759677185925582</v>
      </c>
      <c r="E56" s="157"/>
      <c r="F56" s="157"/>
      <c r="G56" s="157">
        <f>G30+G35+G42+G49</f>
        <v>50.233162932898438</v>
      </c>
      <c r="H56" s="157"/>
      <c r="I56" s="157"/>
      <c r="J56" s="157"/>
      <c r="K56" s="157">
        <f>K30+K37+K42+K49</f>
        <v>74.061655131425809</v>
      </c>
      <c r="L56" s="157"/>
      <c r="M56" s="157"/>
      <c r="N56" s="157">
        <f>N37+N45+N54</f>
        <v>35.137813523534646</v>
      </c>
      <c r="O56" s="157"/>
      <c r="P56" s="157"/>
      <c r="Q56" s="157">
        <f>Q37+Q45+Q54</f>
        <v>48.727906431672608</v>
      </c>
      <c r="R56" s="157"/>
      <c r="S56" s="157"/>
      <c r="T56" s="157">
        <f>T30+T37+T45+T54</f>
        <v>68.093425885678784</v>
      </c>
      <c r="U56" s="157"/>
      <c r="V56" s="157"/>
      <c r="W56" s="157">
        <f>W30+W37+W45+W54</f>
        <v>68.093425885678784</v>
      </c>
      <c r="X56" s="157"/>
      <c r="Y56" s="157"/>
      <c r="Z56" s="157">
        <f>D56+G56+K56+N56+Q56+T56+W56</f>
        <v>387.10706697681462</v>
      </c>
      <c r="AB56" s="133"/>
      <c r="AC56" s="105"/>
      <c r="AD56" s="105"/>
    </row>
    <row r="57" spans="1:30" x14ac:dyDescent="0.25">
      <c r="A57" s="434"/>
      <c r="B57" s="443"/>
      <c r="C57" s="435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57"/>
      <c r="Z57" s="157"/>
      <c r="AB57" s="133">
        <f>Z58/Z56</f>
        <v>14.526072984846881</v>
      </c>
      <c r="AC57" s="105"/>
      <c r="AD57" s="208">
        <v>14.52</v>
      </c>
    </row>
    <row r="58" spans="1:30" x14ac:dyDescent="0.25">
      <c r="A58" s="434" t="s">
        <v>260</v>
      </c>
      <c r="B58" s="443"/>
      <c r="C58" s="435"/>
      <c r="D58" s="157">
        <f>D56*D28</f>
        <v>36.345725608036744</v>
      </c>
      <c r="E58" s="157"/>
      <c r="F58" s="157"/>
      <c r="G58" s="157">
        <f>G56*G28</f>
        <v>236.09586578462267</v>
      </c>
      <c r="H58" s="157"/>
      <c r="I58" s="157"/>
      <c r="J58" s="157"/>
      <c r="K58" s="157">
        <f>K56*K28</f>
        <v>681.36722720911735</v>
      </c>
      <c r="L58" s="157"/>
      <c r="M58" s="157"/>
      <c r="N58" s="157">
        <f>N56*N28</f>
        <v>474.36048256771772</v>
      </c>
      <c r="O58" s="157"/>
      <c r="P58" s="157"/>
      <c r="Q58" s="157">
        <f>Q56*Q28</f>
        <v>862.48394384060509</v>
      </c>
      <c r="R58" s="157"/>
      <c r="S58" s="157"/>
      <c r="T58" s="157">
        <f>T56*T28</f>
        <v>1521.207134286064</v>
      </c>
      <c r="U58" s="157"/>
      <c r="V58" s="157"/>
      <c r="W58" s="157">
        <f>W56*W28</f>
        <v>1811.2851285590557</v>
      </c>
      <c r="X58" s="157"/>
      <c r="Y58" s="157"/>
      <c r="Z58" s="157">
        <f>D58+G58+K58+N58+Q58+T58+W58</f>
        <v>5623.145507855219</v>
      </c>
    </row>
    <row r="59" spans="1:30" x14ac:dyDescent="0.25">
      <c r="A59" s="434"/>
      <c r="B59" s="443"/>
      <c r="C59" s="435"/>
      <c r="D59" s="157"/>
      <c r="E59" s="157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57"/>
      <c r="Z59" s="157"/>
    </row>
    <row r="60" spans="1:30" x14ac:dyDescent="0.25">
      <c r="A60" s="434" t="s">
        <v>261</v>
      </c>
      <c r="B60" s="443"/>
      <c r="C60" s="435"/>
      <c r="D60" s="157">
        <f>D56*(D28^2)</f>
        <v>30.893866766831231</v>
      </c>
      <c r="E60" s="157"/>
      <c r="F60" s="157"/>
      <c r="G60" s="157">
        <f>G56*(G28^2)</f>
        <v>1109.6505691877267</v>
      </c>
      <c r="H60" s="157"/>
      <c r="I60" s="157"/>
      <c r="J60" s="157"/>
      <c r="K60" s="157">
        <f>K56*(K28^2)</f>
        <v>6268.5784903238791</v>
      </c>
      <c r="L60" s="157"/>
      <c r="M60" s="157"/>
      <c r="N60" s="157">
        <f>N56*(N28^2)</f>
        <v>6403.8665146641897</v>
      </c>
      <c r="O60" s="157"/>
      <c r="P60" s="157"/>
      <c r="Q60" s="157">
        <f>Q56*(Q28^2)</f>
        <v>15265.965805978709</v>
      </c>
      <c r="R60" s="157"/>
      <c r="S60" s="157"/>
      <c r="T60" s="157">
        <f>T56*(T28^2)</f>
        <v>33983.767379950674</v>
      </c>
      <c r="U60" s="157"/>
      <c r="V60" s="157"/>
      <c r="W60" s="157">
        <f>W56*(W28^2)</f>
        <v>48180.184419670884</v>
      </c>
      <c r="X60" s="157"/>
      <c r="Y60" s="157"/>
      <c r="Z60" s="157">
        <f>D60+G60+K60+N60+Q60+T60+W60</f>
        <v>111242.9070465429</v>
      </c>
    </row>
  </sheetData>
  <mergeCells count="6">
    <mergeCell ref="Z1:AB1"/>
    <mergeCell ref="A56:C56"/>
    <mergeCell ref="A58:C58"/>
    <mergeCell ref="A60:C60"/>
    <mergeCell ref="A57:C57"/>
    <mergeCell ref="A59:C5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workbookViewId="0">
      <selection activeCell="D6" sqref="D6"/>
    </sheetView>
  </sheetViews>
  <sheetFormatPr defaultRowHeight="15" x14ac:dyDescent="0.25"/>
  <cols>
    <col min="1" max="1" width="15" customWidth="1"/>
    <col min="2" max="2" width="17.140625" customWidth="1"/>
    <col min="3" max="3" width="16.7109375" customWidth="1"/>
    <col min="4" max="4" width="18.85546875" customWidth="1"/>
    <col min="7" max="7" width="13.7109375" customWidth="1"/>
    <col min="13" max="13" width="14.5703125" customWidth="1"/>
  </cols>
  <sheetData>
    <row r="1" spans="1:18" x14ac:dyDescent="0.25">
      <c r="B1" s="91" t="s">
        <v>236</v>
      </c>
    </row>
    <row r="2" spans="1:18" x14ac:dyDescent="0.25">
      <c r="A2" s="91" t="s">
        <v>195</v>
      </c>
      <c r="B2" s="91">
        <v>39.6</v>
      </c>
    </row>
    <row r="3" spans="1:18" x14ac:dyDescent="0.25">
      <c r="A3" s="91" t="s">
        <v>196</v>
      </c>
      <c r="B3" s="91">
        <v>326.16000000000003</v>
      </c>
    </row>
    <row r="4" spans="1:18" x14ac:dyDescent="0.25">
      <c r="A4" s="91" t="s">
        <v>197</v>
      </c>
      <c r="B4" s="91">
        <v>312.8</v>
      </c>
    </row>
    <row r="5" spans="1:18" x14ac:dyDescent="0.25">
      <c r="A5" s="91" t="s">
        <v>198</v>
      </c>
      <c r="B5" s="91">
        <v>277.7</v>
      </c>
    </row>
    <row r="7" spans="1:18" x14ac:dyDescent="0.25">
      <c r="A7" t="s">
        <v>199</v>
      </c>
      <c r="E7" t="s">
        <v>237</v>
      </c>
      <c r="F7">
        <f>B2+B3</f>
        <v>365.76000000000005</v>
      </c>
    </row>
    <row r="9" spans="1:18" x14ac:dyDescent="0.25">
      <c r="A9" s="235" t="s">
        <v>78</v>
      </c>
      <c r="B9" s="235" t="s">
        <v>79</v>
      </c>
      <c r="C9" s="235" t="s">
        <v>80</v>
      </c>
      <c r="D9" s="235" t="s">
        <v>81</v>
      </c>
      <c r="E9" s="235" t="s">
        <v>82</v>
      </c>
      <c r="G9" s="235" t="s">
        <v>78</v>
      </c>
      <c r="H9" s="235" t="s">
        <v>88</v>
      </c>
      <c r="I9" s="235" t="s">
        <v>89</v>
      </c>
      <c r="J9" s="235" t="s">
        <v>90</v>
      </c>
      <c r="K9" s="235" t="s">
        <v>91</v>
      </c>
      <c r="M9" s="235" t="s">
        <v>78</v>
      </c>
      <c r="N9" s="235" t="s">
        <v>98</v>
      </c>
      <c r="O9" s="235" t="s">
        <v>97</v>
      </c>
      <c r="P9" s="235" t="s">
        <v>100</v>
      </c>
      <c r="Q9" s="235" t="s">
        <v>101</v>
      </c>
      <c r="R9" s="235" t="s">
        <v>102</v>
      </c>
    </row>
    <row r="10" spans="1:18" x14ac:dyDescent="0.25">
      <c r="A10" s="235" t="s">
        <v>200</v>
      </c>
      <c r="B10" s="235">
        <f>F7</f>
        <v>365.76000000000005</v>
      </c>
      <c r="C10" s="235">
        <v>9</v>
      </c>
      <c r="D10" s="235">
        <f>C10*B10</f>
        <v>3291.8400000000006</v>
      </c>
      <c r="E10" s="235">
        <f>D10/9.81</f>
        <v>335.55963302752298</v>
      </c>
      <c r="G10" s="235" t="s">
        <v>200</v>
      </c>
      <c r="H10" s="235">
        <f t="shared" ref="H10:H13" si="0">H11+$B$22</f>
        <v>19.7</v>
      </c>
      <c r="I10" s="235">
        <f>D10*H10</f>
        <v>64849.248000000007</v>
      </c>
      <c r="J10" s="235">
        <f>(I10/$I$16)*$B$23</f>
        <v>446.13917149073899</v>
      </c>
      <c r="K10" s="235">
        <f>J10</f>
        <v>446.13917149073899</v>
      </c>
      <c r="M10" s="235" t="s">
        <v>200</v>
      </c>
      <c r="N10" s="235">
        <f>$B$22</f>
        <v>3.2</v>
      </c>
      <c r="O10" s="235">
        <f>K10/12</f>
        <v>37.178264290894916</v>
      </c>
      <c r="P10" s="235">
        <f>0.5*O10*N10</f>
        <v>59.485222865431865</v>
      </c>
      <c r="Q10" s="235">
        <f>P10/2</f>
        <v>29.742611432715933</v>
      </c>
      <c r="R10" s="235">
        <f>2*(Q10/B24)</f>
        <v>11.439465935659973</v>
      </c>
    </row>
    <row r="11" spans="1:18" x14ac:dyDescent="0.25">
      <c r="A11" s="235">
        <v>5</v>
      </c>
      <c r="B11" s="235">
        <f>$B$4</f>
        <v>312.8</v>
      </c>
      <c r="C11" s="235">
        <v>10</v>
      </c>
      <c r="D11" s="235">
        <f t="shared" ref="D11:D15" si="1">C11*B11</f>
        <v>3128</v>
      </c>
      <c r="E11" s="235">
        <f t="shared" ref="E11:E15" si="2">D11/9.81</f>
        <v>318.8583078491335</v>
      </c>
      <c r="G11" s="235">
        <v>5</v>
      </c>
      <c r="H11" s="235">
        <f t="shared" si="0"/>
        <v>16.5</v>
      </c>
      <c r="I11" s="235">
        <f t="shared" ref="I11:I15" si="3">D11*H11</f>
        <v>51612</v>
      </c>
      <c r="J11" s="235">
        <f t="shared" ref="J11:J15" si="4">(I11/$I$16)*$B$23</f>
        <v>355.07173373822349</v>
      </c>
      <c r="K11" s="235">
        <f>K10+J11</f>
        <v>801.21090522896247</v>
      </c>
      <c r="M11" s="235">
        <v>5</v>
      </c>
      <c r="N11" s="235">
        <f t="shared" ref="N11:N14" si="5">$B$22</f>
        <v>3.2</v>
      </c>
      <c r="O11" s="235">
        <f t="shared" ref="O11:O15" si="6">K11/12</f>
        <v>66.767575435746878</v>
      </c>
      <c r="P11" s="235">
        <f t="shared" ref="P11:P14" si="7">0.5*O11*N11</f>
        <v>106.828120697195</v>
      </c>
      <c r="Q11" s="235">
        <f>(P10+P11)/2</f>
        <v>83.156671781313435</v>
      </c>
      <c r="R11" s="235">
        <f>((Q10+Q11)/$B$24)*2</f>
        <v>43.422801236165142</v>
      </c>
    </row>
    <row r="12" spans="1:18" x14ac:dyDescent="0.25">
      <c r="A12" s="235">
        <v>4</v>
      </c>
      <c r="B12" s="235">
        <f t="shared" ref="B12:B14" si="8">$B$4</f>
        <v>312.8</v>
      </c>
      <c r="C12" s="235">
        <v>10</v>
      </c>
      <c r="D12" s="235">
        <f t="shared" si="1"/>
        <v>3128</v>
      </c>
      <c r="E12" s="235">
        <f t="shared" si="2"/>
        <v>318.8583078491335</v>
      </c>
      <c r="G12" s="235">
        <v>4</v>
      </c>
      <c r="H12" s="235">
        <f t="shared" si="0"/>
        <v>13.3</v>
      </c>
      <c r="I12" s="235">
        <f t="shared" si="3"/>
        <v>41602.400000000001</v>
      </c>
      <c r="J12" s="235">
        <f t="shared" si="4"/>
        <v>286.20933689202258</v>
      </c>
      <c r="K12" s="235">
        <f t="shared" ref="K12:K15" si="9">K11+J12</f>
        <v>1087.420242120985</v>
      </c>
      <c r="M12" s="235">
        <v>4</v>
      </c>
      <c r="N12" s="235">
        <f t="shared" si="5"/>
        <v>3.2</v>
      </c>
      <c r="O12" s="235">
        <f t="shared" si="6"/>
        <v>90.618353510082088</v>
      </c>
      <c r="P12" s="235">
        <f t="shared" si="7"/>
        <v>144.98936561613135</v>
      </c>
      <c r="Q12" s="235">
        <f t="shared" ref="Q12:Q15" si="10">(P11+P12)/2</f>
        <v>125.90874315666318</v>
      </c>
      <c r="R12" s="235">
        <f t="shared" ref="R12:R15" si="11">((Q11+Q12)/$B$24)*2</f>
        <v>80.409774976144845</v>
      </c>
    </row>
    <row r="13" spans="1:18" x14ac:dyDescent="0.25">
      <c r="A13" s="235">
        <v>3</v>
      </c>
      <c r="B13" s="235">
        <f t="shared" si="8"/>
        <v>312.8</v>
      </c>
      <c r="C13" s="235">
        <v>10</v>
      </c>
      <c r="D13" s="235">
        <f t="shared" si="1"/>
        <v>3128</v>
      </c>
      <c r="E13" s="235">
        <f t="shared" si="2"/>
        <v>318.8583078491335</v>
      </c>
      <c r="G13" s="235">
        <v>3</v>
      </c>
      <c r="H13" s="235">
        <f t="shared" si="0"/>
        <v>10.100000000000001</v>
      </c>
      <c r="I13" s="235">
        <f t="shared" si="3"/>
        <v>31592.800000000003</v>
      </c>
      <c r="J13" s="235">
        <f t="shared" si="4"/>
        <v>217.34694004582167</v>
      </c>
      <c r="K13" s="235">
        <f t="shared" si="9"/>
        <v>1304.7671821668066</v>
      </c>
      <c r="M13" s="235">
        <v>3</v>
      </c>
      <c r="N13" s="235">
        <f t="shared" si="5"/>
        <v>3.2</v>
      </c>
      <c r="O13" s="235">
        <f t="shared" si="6"/>
        <v>108.73059851390055</v>
      </c>
      <c r="P13" s="235">
        <f t="shared" si="7"/>
        <v>173.96895762224088</v>
      </c>
      <c r="Q13" s="235">
        <f t="shared" si="10"/>
        <v>159.47916161918613</v>
      </c>
      <c r="R13" s="235">
        <f t="shared" si="11"/>
        <v>109.76457875994203</v>
      </c>
    </row>
    <row r="14" spans="1:18" x14ac:dyDescent="0.25">
      <c r="A14" s="235">
        <v>2</v>
      </c>
      <c r="B14" s="235">
        <f t="shared" si="8"/>
        <v>312.8</v>
      </c>
      <c r="C14" s="235">
        <v>10</v>
      </c>
      <c r="D14" s="235">
        <f t="shared" si="1"/>
        <v>3128</v>
      </c>
      <c r="E14" s="235">
        <f t="shared" si="2"/>
        <v>318.8583078491335</v>
      </c>
      <c r="G14" s="235">
        <v>2</v>
      </c>
      <c r="H14" s="235">
        <f>H15+$B$22</f>
        <v>6.9</v>
      </c>
      <c r="I14" s="235">
        <f t="shared" si="3"/>
        <v>21583.200000000001</v>
      </c>
      <c r="J14" s="235">
        <f t="shared" si="4"/>
        <v>148.4845431996207</v>
      </c>
      <c r="K14" s="235">
        <f t="shared" si="9"/>
        <v>1453.2517253664273</v>
      </c>
      <c r="M14" s="235">
        <v>2</v>
      </c>
      <c r="N14" s="235">
        <f t="shared" si="5"/>
        <v>3.2</v>
      </c>
      <c r="O14" s="235">
        <f t="shared" si="6"/>
        <v>121.10431044720228</v>
      </c>
      <c r="P14" s="235">
        <f t="shared" si="7"/>
        <v>193.76689671552367</v>
      </c>
      <c r="Q14" s="235">
        <f t="shared" si="10"/>
        <v>183.86792716888226</v>
      </c>
      <c r="R14" s="235">
        <f t="shared" si="11"/>
        <v>132.05657261079554</v>
      </c>
    </row>
    <row r="15" spans="1:18" x14ac:dyDescent="0.25">
      <c r="A15" s="235">
        <v>1</v>
      </c>
      <c r="B15" s="235">
        <f>B5</f>
        <v>277.7</v>
      </c>
      <c r="C15" s="235">
        <v>10</v>
      </c>
      <c r="D15" s="235">
        <f t="shared" si="1"/>
        <v>2777</v>
      </c>
      <c r="E15" s="235">
        <f t="shared" si="2"/>
        <v>283.07849133537206</v>
      </c>
      <c r="G15" s="235">
        <v>1</v>
      </c>
      <c r="H15" s="235">
        <f>D22</f>
        <v>3.7</v>
      </c>
      <c r="I15" s="235">
        <f t="shared" si="3"/>
        <v>10274.9</v>
      </c>
      <c r="J15" s="235">
        <f t="shared" si="4"/>
        <v>70.68756407399195</v>
      </c>
      <c r="K15" s="235">
        <f t="shared" si="9"/>
        <v>1523.9392894404193</v>
      </c>
      <c r="M15" s="235" t="s">
        <v>201</v>
      </c>
      <c r="N15" s="235">
        <f>$B$22+0.5</f>
        <v>3.7</v>
      </c>
      <c r="O15" s="235">
        <f t="shared" si="6"/>
        <v>126.9949407867016</v>
      </c>
      <c r="P15" s="235">
        <f>O15*N15*0.4</f>
        <v>187.95251236431841</v>
      </c>
      <c r="Q15" s="235">
        <f t="shared" si="10"/>
        <v>190.85970453992104</v>
      </c>
      <c r="R15" s="235">
        <f t="shared" si="11"/>
        <v>144.12601219569356</v>
      </c>
    </row>
    <row r="16" spans="1:18" x14ac:dyDescent="0.25">
      <c r="A16" s="235" t="s">
        <v>83</v>
      </c>
      <c r="B16" s="235"/>
      <c r="C16" s="235"/>
      <c r="D16" s="235">
        <f>SUM(D10:D15)</f>
        <v>18580.84</v>
      </c>
      <c r="E16" s="235">
        <f>SUM(E10:E15)</f>
        <v>1894.0713557594293</v>
      </c>
      <c r="G16" s="235" t="s">
        <v>83</v>
      </c>
      <c r="H16" s="235"/>
      <c r="I16" s="235">
        <f>SUM(I10:I15)</f>
        <v>221514.54800000004</v>
      </c>
      <c r="J16" s="235"/>
      <c r="K16" s="235"/>
      <c r="M16" s="235" t="s">
        <v>99</v>
      </c>
      <c r="N16" s="235"/>
      <c r="O16" s="235"/>
      <c r="P16" s="235">
        <f>0.6*N15*O15</f>
        <v>281.92876854647761</v>
      </c>
      <c r="Q16" s="235"/>
      <c r="R16" s="235"/>
    </row>
    <row r="19" spans="1:12" x14ac:dyDescent="0.25">
      <c r="A19" s="235" t="s">
        <v>84</v>
      </c>
      <c r="B19" s="235">
        <v>7.4999999999999997E-2</v>
      </c>
      <c r="G19" s="19" t="s">
        <v>107</v>
      </c>
      <c r="H19" s="20"/>
      <c r="I19" s="20"/>
      <c r="J19" s="20"/>
      <c r="K19" s="20"/>
      <c r="L19" s="21"/>
    </row>
    <row r="20" spans="1:12" x14ac:dyDescent="0.25">
      <c r="A20" s="235" t="s">
        <v>86</v>
      </c>
      <c r="B20" s="235">
        <f>(3.2*5)+3.7</f>
        <v>19.7</v>
      </c>
      <c r="C20" t="s">
        <v>96</v>
      </c>
      <c r="G20" s="231" t="s">
        <v>106</v>
      </c>
      <c r="H20" s="28"/>
      <c r="I20" s="28"/>
      <c r="J20" s="28"/>
      <c r="K20" s="28"/>
      <c r="L20" s="29"/>
    </row>
    <row r="21" spans="1:12" x14ac:dyDescent="0.25">
      <c r="A21" s="235" t="s">
        <v>85</v>
      </c>
      <c r="B21" s="235">
        <f>B19*(B20^(3/4))</f>
        <v>0.7013114556897867</v>
      </c>
      <c r="G21" s="235" t="s">
        <v>78</v>
      </c>
      <c r="H21" s="235" t="s">
        <v>91</v>
      </c>
      <c r="I21" s="235" t="s">
        <v>97</v>
      </c>
      <c r="J21" s="235" t="s">
        <v>100</v>
      </c>
      <c r="K21" s="235" t="s">
        <v>101</v>
      </c>
    </row>
    <row r="22" spans="1:12" x14ac:dyDescent="0.25">
      <c r="A22" s="235" t="s">
        <v>284</v>
      </c>
      <c r="B22" s="235">
        <v>3.2</v>
      </c>
      <c r="C22" t="s">
        <v>285</v>
      </c>
      <c r="D22">
        <f>3.7</f>
        <v>3.7</v>
      </c>
      <c r="G22" s="235" t="s">
        <v>200</v>
      </c>
      <c r="H22" s="235">
        <f>K10</f>
        <v>446.13917149073899</v>
      </c>
      <c r="I22" s="235">
        <f>1.2*O10</f>
        <v>44.613917149073899</v>
      </c>
      <c r="J22" s="235">
        <f>P10*1.2</f>
        <v>71.382267438518241</v>
      </c>
      <c r="K22" s="235">
        <f>Q10*1.2</f>
        <v>35.69113371925912</v>
      </c>
    </row>
    <row r="23" spans="1:12" x14ac:dyDescent="0.25">
      <c r="A23" s="235" t="s">
        <v>87</v>
      </c>
      <c r="B23" s="235">
        <f>0.85*D16*B28</f>
        <v>1523.9392894404195</v>
      </c>
      <c r="G23" s="235">
        <v>5</v>
      </c>
      <c r="H23" s="235">
        <f t="shared" ref="H23:H27" si="12">K11</f>
        <v>801.21090522896247</v>
      </c>
      <c r="I23" s="235">
        <f t="shared" ref="I23:I27" si="13">1.2*O11</f>
        <v>80.121090522896253</v>
      </c>
      <c r="J23" s="235">
        <f t="shared" ref="J23:K28" si="14">P11*1.2</f>
        <v>128.19374483663401</v>
      </c>
      <c r="K23" s="235">
        <f t="shared" si="14"/>
        <v>99.788006137576119</v>
      </c>
    </row>
    <row r="24" spans="1:12" x14ac:dyDescent="0.25">
      <c r="A24" s="235" t="s">
        <v>135</v>
      </c>
      <c r="B24" s="235">
        <v>5.2</v>
      </c>
      <c r="G24" s="235">
        <v>4</v>
      </c>
      <c r="H24" s="235">
        <f t="shared" si="12"/>
        <v>1087.420242120985</v>
      </c>
      <c r="I24" s="235">
        <f t="shared" si="13"/>
        <v>108.7420242120985</v>
      </c>
      <c r="J24" s="235">
        <f t="shared" si="14"/>
        <v>173.98723873935762</v>
      </c>
      <c r="K24" s="235">
        <f t="shared" si="14"/>
        <v>151.0904917879958</v>
      </c>
    </row>
    <row r="25" spans="1:12" x14ac:dyDescent="0.25">
      <c r="A25" s="235" t="s">
        <v>92</v>
      </c>
      <c r="B25" s="235">
        <v>27</v>
      </c>
      <c r="G25" s="235">
        <v>3</v>
      </c>
      <c r="H25" s="235">
        <f t="shared" si="12"/>
        <v>1304.7671821668066</v>
      </c>
      <c r="I25" s="235">
        <f t="shared" si="13"/>
        <v>130.47671821668064</v>
      </c>
      <c r="J25" s="235">
        <f t="shared" si="14"/>
        <v>208.76274914668906</v>
      </c>
      <c r="K25" s="235">
        <f t="shared" si="14"/>
        <v>191.37499394302336</v>
      </c>
    </row>
    <row r="26" spans="1:12" x14ac:dyDescent="0.25">
      <c r="A26" s="235" t="s">
        <v>93</v>
      </c>
      <c r="B26" s="235">
        <v>13</v>
      </c>
      <c r="G26" s="235">
        <v>2</v>
      </c>
      <c r="H26" s="235">
        <f t="shared" si="12"/>
        <v>1453.2517253664273</v>
      </c>
      <c r="I26" s="235">
        <f t="shared" si="13"/>
        <v>145.32517253664273</v>
      </c>
      <c r="J26" s="235">
        <f t="shared" si="14"/>
        <v>232.52027605862838</v>
      </c>
      <c r="K26" s="235">
        <f t="shared" si="14"/>
        <v>220.64151260265871</v>
      </c>
    </row>
    <row r="27" spans="1:12" x14ac:dyDescent="0.25">
      <c r="A27" s="235" t="s">
        <v>94</v>
      </c>
      <c r="B27" s="235">
        <v>12</v>
      </c>
      <c r="C27" t="s">
        <v>95</v>
      </c>
      <c r="E27">
        <v>12</v>
      </c>
      <c r="G27" s="235" t="s">
        <v>201</v>
      </c>
      <c r="H27" s="235">
        <f t="shared" si="12"/>
        <v>1523.9392894404193</v>
      </c>
      <c r="I27" s="235">
        <f t="shared" si="13"/>
        <v>152.39392894404193</v>
      </c>
      <c r="J27" s="235">
        <f t="shared" si="14"/>
        <v>225.54301483718208</v>
      </c>
      <c r="K27" s="235">
        <f t="shared" si="14"/>
        <v>229.03164544790525</v>
      </c>
    </row>
    <row r="28" spans="1:12" x14ac:dyDescent="0.25">
      <c r="A28" s="235" t="s">
        <v>136</v>
      </c>
      <c r="B28" s="235">
        <f>[1]Dati!$D$28</f>
        <v>9.6490242221710459E-2</v>
      </c>
      <c r="C28" t="s">
        <v>204</v>
      </c>
      <c r="G28" s="235" t="s">
        <v>99</v>
      </c>
      <c r="H28" s="235"/>
      <c r="I28" s="235"/>
      <c r="J28" s="235">
        <f t="shared" si="14"/>
        <v>338.31452225577311</v>
      </c>
      <c r="K28" s="235"/>
    </row>
    <row r="30" spans="1:12" x14ac:dyDescent="0.25">
      <c r="G30" s="19" t="s">
        <v>108</v>
      </c>
      <c r="H30" s="20"/>
      <c r="I30" s="20"/>
      <c r="J30" s="20"/>
      <c r="K30" s="21"/>
    </row>
    <row r="31" spans="1:12" x14ac:dyDescent="0.25">
      <c r="G31" s="231" t="s">
        <v>122</v>
      </c>
      <c r="H31" s="28"/>
      <c r="I31" s="28"/>
      <c r="J31" s="28"/>
      <c r="K31" s="29"/>
    </row>
    <row r="32" spans="1:12" x14ac:dyDescent="0.25">
      <c r="G32" s="235" t="s">
        <v>78</v>
      </c>
      <c r="H32" s="235" t="s">
        <v>91</v>
      </c>
      <c r="I32" s="235" t="s">
        <v>97</v>
      </c>
      <c r="J32" s="235" t="s">
        <v>100</v>
      </c>
      <c r="K32" s="235" t="s">
        <v>101</v>
      </c>
    </row>
    <row r="33" spans="1:11" x14ac:dyDescent="0.25">
      <c r="G33" s="235" t="s">
        <v>200</v>
      </c>
      <c r="H33" s="235">
        <f>H22</f>
        <v>446.13917149073899</v>
      </c>
      <c r="I33" s="235">
        <f>I22</f>
        <v>44.613917149073899</v>
      </c>
      <c r="J33" s="235">
        <f>$J$22*1.5</f>
        <v>107.07340115777737</v>
      </c>
      <c r="K33" s="235">
        <f>K22</f>
        <v>35.69113371925912</v>
      </c>
    </row>
    <row r="34" spans="1:11" x14ac:dyDescent="0.25">
      <c r="G34" s="235">
        <v>5</v>
      </c>
      <c r="H34" s="235">
        <f t="shared" ref="H34:I38" si="15">H23</f>
        <v>801.21090522896247</v>
      </c>
      <c r="I34" s="235">
        <f t="shared" si="15"/>
        <v>80.121090522896253</v>
      </c>
      <c r="J34" s="235">
        <f>$J$23*1.5</f>
        <v>192.29061725495103</v>
      </c>
      <c r="K34" s="235">
        <f t="shared" ref="K34:K38" si="16">K23</f>
        <v>99.788006137576119</v>
      </c>
    </row>
    <row r="35" spans="1:11" x14ac:dyDescent="0.25">
      <c r="G35" s="235">
        <v>4</v>
      </c>
      <c r="H35" s="235">
        <f t="shared" si="15"/>
        <v>1087.420242120985</v>
      </c>
      <c r="I35" s="235">
        <f t="shared" si="15"/>
        <v>108.7420242120985</v>
      </c>
      <c r="J35" s="235">
        <f>$J$24*1.5</f>
        <v>260.98085810903643</v>
      </c>
      <c r="K35" s="235">
        <f t="shared" si="16"/>
        <v>151.0904917879958</v>
      </c>
    </row>
    <row r="36" spans="1:11" x14ac:dyDescent="0.25">
      <c r="G36" s="235">
        <v>3</v>
      </c>
      <c r="H36" s="235">
        <f t="shared" si="15"/>
        <v>1304.7671821668066</v>
      </c>
      <c r="I36" s="235">
        <f t="shared" si="15"/>
        <v>130.47671821668064</v>
      </c>
      <c r="J36" s="235">
        <f>$J$25*1.5</f>
        <v>313.14412372003358</v>
      </c>
      <c r="K36" s="235">
        <f t="shared" si="16"/>
        <v>191.37499394302336</v>
      </c>
    </row>
    <row r="37" spans="1:11" x14ac:dyDescent="0.25">
      <c r="G37" s="235">
        <v>2</v>
      </c>
      <c r="H37" s="235">
        <f t="shared" si="15"/>
        <v>1453.2517253664273</v>
      </c>
      <c r="I37" s="235">
        <f t="shared" si="15"/>
        <v>145.32517253664273</v>
      </c>
      <c r="J37" s="235">
        <f>$J$26*1.5</f>
        <v>348.78041408794257</v>
      </c>
      <c r="K37" s="235">
        <f t="shared" si="16"/>
        <v>220.64151260265871</v>
      </c>
    </row>
    <row r="38" spans="1:11" x14ac:dyDescent="0.25">
      <c r="G38" s="235" t="s">
        <v>201</v>
      </c>
      <c r="H38" s="235">
        <f t="shared" si="15"/>
        <v>1523.9392894404193</v>
      </c>
      <c r="I38" s="235">
        <f t="shared" si="15"/>
        <v>152.39392894404193</v>
      </c>
      <c r="J38" s="235">
        <f>$J$27*1.5</f>
        <v>338.31452225577311</v>
      </c>
      <c r="K38" s="235">
        <f t="shared" si="16"/>
        <v>229.03164544790525</v>
      </c>
    </row>
    <row r="39" spans="1:11" x14ac:dyDescent="0.25">
      <c r="G39" s="235" t="s">
        <v>99</v>
      </c>
      <c r="H39" s="235"/>
      <c r="I39" s="235"/>
      <c r="J39" s="235">
        <f>$J$28</f>
        <v>338.31452225577311</v>
      </c>
      <c r="K39" s="235"/>
    </row>
    <row r="41" spans="1:11" x14ac:dyDescent="0.25">
      <c r="A41" s="232" t="s">
        <v>109</v>
      </c>
      <c r="B41" s="233"/>
      <c r="C41" s="233"/>
      <c r="D41" s="233"/>
      <c r="E41" s="20"/>
      <c r="F41" s="20"/>
      <c r="G41" s="20"/>
      <c r="H41" s="21"/>
    </row>
    <row r="42" spans="1:11" x14ac:dyDescent="0.25">
      <c r="A42" s="24" t="s">
        <v>110</v>
      </c>
      <c r="B42" s="13"/>
      <c r="C42" s="13"/>
      <c r="D42" s="13"/>
      <c r="E42" s="13"/>
      <c r="F42" s="13"/>
      <c r="G42" s="13"/>
      <c r="H42" s="23"/>
    </row>
    <row r="43" spans="1:11" x14ac:dyDescent="0.25">
      <c r="A43" s="24" t="s">
        <v>113</v>
      </c>
      <c r="B43" s="230">
        <f>'analisi dei carichi'!P69</f>
        <v>66.431230650000003</v>
      </c>
      <c r="C43" s="13"/>
      <c r="D43" s="13"/>
      <c r="E43" s="13"/>
      <c r="F43" s="13"/>
      <c r="G43" s="13"/>
      <c r="H43" s="23"/>
    </row>
    <row r="44" spans="1:11" x14ac:dyDescent="0.25">
      <c r="A44" s="24" t="s">
        <v>111</v>
      </c>
      <c r="B44" s="13"/>
      <c r="C44" s="13" t="s">
        <v>123</v>
      </c>
      <c r="D44" s="13"/>
      <c r="E44" s="13"/>
      <c r="F44" s="13"/>
      <c r="G44" s="13"/>
      <c r="H44" s="23"/>
    </row>
    <row r="45" spans="1:11" x14ac:dyDescent="0.25">
      <c r="A45" s="24" t="s">
        <v>113</v>
      </c>
      <c r="B45" s="13">
        <f>K38</f>
        <v>229.03164544790525</v>
      </c>
      <c r="C45" s="13"/>
      <c r="D45" s="13"/>
      <c r="E45" s="13"/>
      <c r="F45" s="13"/>
      <c r="G45" s="13"/>
      <c r="H45" s="23"/>
    </row>
    <row r="46" spans="1:11" x14ac:dyDescent="0.25">
      <c r="A46" s="24" t="s">
        <v>112</v>
      </c>
      <c r="B46" s="13"/>
      <c r="C46" s="13"/>
      <c r="D46" s="13"/>
      <c r="E46" s="13"/>
      <c r="F46" s="13"/>
      <c r="G46" s="13"/>
      <c r="H46" s="23"/>
    </row>
    <row r="47" spans="1:11" x14ac:dyDescent="0.25">
      <c r="A47" s="24" t="s">
        <v>296</v>
      </c>
      <c r="B47" s="13">
        <f>B43+B45</f>
        <v>295.46287609790522</v>
      </c>
      <c r="C47" s="13"/>
      <c r="D47" s="13"/>
      <c r="E47" s="13"/>
      <c r="F47" s="13"/>
      <c r="G47" s="13"/>
      <c r="H47" s="23"/>
    </row>
    <row r="48" spans="1:11" x14ac:dyDescent="0.25">
      <c r="A48" s="24" t="s">
        <v>297</v>
      </c>
      <c r="B48" s="13">
        <v>25</v>
      </c>
      <c r="C48" s="13" t="s">
        <v>116</v>
      </c>
      <c r="D48" s="13"/>
      <c r="E48" s="13"/>
      <c r="F48" s="13"/>
      <c r="G48" s="13"/>
      <c r="H48" s="23"/>
    </row>
    <row r="49" spans="1:8" x14ac:dyDescent="0.25">
      <c r="A49" s="24" t="s">
        <v>117</v>
      </c>
      <c r="B49" s="13">
        <f>'analisi dei carichi'!P12</f>
        <v>0.3</v>
      </c>
      <c r="C49" s="13" t="s">
        <v>121</v>
      </c>
      <c r="D49" s="13"/>
      <c r="E49" s="13"/>
      <c r="F49" s="13"/>
      <c r="G49" s="13"/>
      <c r="H49" s="23"/>
    </row>
    <row r="50" spans="1:8" x14ac:dyDescent="0.25">
      <c r="A50" s="24" t="s">
        <v>118</v>
      </c>
      <c r="B50" s="13">
        <v>0.04</v>
      </c>
      <c r="C50" s="13" t="s">
        <v>121</v>
      </c>
      <c r="D50" s="13"/>
      <c r="E50" s="13"/>
      <c r="F50" s="13"/>
      <c r="G50" s="13"/>
      <c r="H50" s="23"/>
    </row>
    <row r="51" spans="1:8" x14ac:dyDescent="0.25">
      <c r="A51" s="24" t="s">
        <v>120</v>
      </c>
      <c r="B51" s="13">
        <v>1.7999999999999999E-2</v>
      </c>
      <c r="C51" s="13"/>
      <c r="D51" s="13"/>
      <c r="E51" s="13"/>
      <c r="F51" s="13"/>
      <c r="G51" s="13"/>
      <c r="H51" s="23"/>
    </row>
    <row r="52" spans="1:8" x14ac:dyDescent="0.25">
      <c r="A52" s="231" t="s">
        <v>119</v>
      </c>
      <c r="B52" s="234">
        <f>B51*SQRT(B47/B49)</f>
        <v>0.5648892866622075</v>
      </c>
      <c r="C52" s="28"/>
      <c r="D52" s="28"/>
      <c r="E52" s="28"/>
      <c r="F52" s="28" t="s">
        <v>252</v>
      </c>
      <c r="G52" s="28"/>
      <c r="H52" s="2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topLeftCell="A10" workbookViewId="0">
      <selection activeCell="B15" sqref="B15"/>
    </sheetView>
  </sheetViews>
  <sheetFormatPr defaultRowHeight="15" x14ac:dyDescent="0.25"/>
  <cols>
    <col min="1" max="1" width="59.85546875" customWidth="1"/>
    <col min="2" max="2" width="19" customWidth="1"/>
    <col min="3" max="3" width="14.5703125" customWidth="1"/>
    <col min="4" max="4" width="18.28515625" customWidth="1"/>
    <col min="5" max="5" width="8.7109375" customWidth="1"/>
    <col min="7" max="7" width="15.140625" customWidth="1"/>
    <col min="9" max="9" width="9.42578125" customWidth="1"/>
    <col min="13" max="13" width="13.5703125" customWidth="1"/>
  </cols>
  <sheetData>
    <row r="1" spans="1:18" x14ac:dyDescent="0.25">
      <c r="A1" s="237"/>
      <c r="B1" s="237" t="s">
        <v>236</v>
      </c>
      <c r="H1" s="245" t="s">
        <v>217</v>
      </c>
      <c r="I1" s="20" t="s">
        <v>254</v>
      </c>
      <c r="J1" s="20"/>
      <c r="K1" s="21"/>
    </row>
    <row r="2" spans="1:18" x14ac:dyDescent="0.25">
      <c r="A2" s="237" t="s">
        <v>195</v>
      </c>
      <c r="B2" s="237">
        <f>'masse e forze'!B2</f>
        <v>39.6</v>
      </c>
      <c r="H2" s="22">
        <v>6</v>
      </c>
      <c r="I2" s="25">
        <f>rigidezze!B49</f>
        <v>10.464534601810673</v>
      </c>
      <c r="J2" s="13"/>
      <c r="K2" s="23"/>
    </row>
    <row r="3" spans="1:18" x14ac:dyDescent="0.25">
      <c r="A3" s="237" t="s">
        <v>196</v>
      </c>
      <c r="B3" s="336">
        <f>'masse e forze'!B3</f>
        <v>346.05</v>
      </c>
      <c r="H3" s="22" t="s">
        <v>287</v>
      </c>
      <c r="I3" s="25">
        <f>rigidezze!B50</f>
        <v>10.41288174949409</v>
      </c>
      <c r="J3" s="13"/>
      <c r="K3" s="23"/>
    </row>
    <row r="4" spans="1:18" x14ac:dyDescent="0.25">
      <c r="A4" s="237" t="s">
        <v>197</v>
      </c>
      <c r="B4" s="336">
        <f>'masse e forze'!B4</f>
        <v>312.8</v>
      </c>
      <c r="H4" s="22" t="s">
        <v>288</v>
      </c>
      <c r="I4" s="25">
        <f>rigidezze!B51</f>
        <v>10.33384077377467</v>
      </c>
      <c r="J4" s="13"/>
      <c r="K4" s="23"/>
    </row>
    <row r="5" spans="1:18" x14ac:dyDescent="0.25">
      <c r="A5" s="237" t="s">
        <v>198</v>
      </c>
      <c r="B5" s="336">
        <f>'masse e forze'!B5</f>
        <v>312.8</v>
      </c>
      <c r="H5" s="249">
        <v>1</v>
      </c>
      <c r="I5" s="321">
        <f>rigidezze!B52</f>
        <v>12.690068830702442</v>
      </c>
      <c r="J5" s="28"/>
      <c r="K5" s="29"/>
    </row>
    <row r="7" spans="1:18" x14ac:dyDescent="0.25">
      <c r="A7" s="238" t="s">
        <v>199</v>
      </c>
      <c r="B7" s="242"/>
      <c r="C7" s="242"/>
      <c r="D7" s="242"/>
      <c r="E7" s="242" t="s">
        <v>237</v>
      </c>
      <c r="F7" s="239">
        <f>B2+B3</f>
        <v>385.65000000000003</v>
      </c>
    </row>
    <row r="9" spans="1:18" x14ac:dyDescent="0.25">
      <c r="A9" s="237" t="s">
        <v>78</v>
      </c>
      <c r="B9" s="237" t="s">
        <v>79</v>
      </c>
      <c r="C9" s="237" t="s">
        <v>80</v>
      </c>
      <c r="D9" s="237" t="s">
        <v>81</v>
      </c>
      <c r="E9" s="237" t="s">
        <v>82</v>
      </c>
      <c r="G9" s="237" t="s">
        <v>78</v>
      </c>
      <c r="H9" s="237" t="s">
        <v>88</v>
      </c>
      <c r="I9" s="237" t="s">
        <v>89</v>
      </c>
      <c r="J9" s="237" t="s">
        <v>90</v>
      </c>
      <c r="K9" s="237" t="s">
        <v>91</v>
      </c>
      <c r="M9" s="237" t="s">
        <v>78</v>
      </c>
      <c r="N9" s="237" t="s">
        <v>98</v>
      </c>
      <c r="O9" s="237" t="s">
        <v>97</v>
      </c>
      <c r="P9" s="267" t="s">
        <v>100</v>
      </c>
      <c r="Q9" s="267" t="s">
        <v>101</v>
      </c>
      <c r="R9" s="237" t="s">
        <v>102</v>
      </c>
    </row>
    <row r="10" spans="1:18" x14ac:dyDescent="0.25">
      <c r="A10" s="237" t="s">
        <v>200</v>
      </c>
      <c r="B10" s="237">
        <f>F7</f>
        <v>385.65000000000003</v>
      </c>
      <c r="C10" s="237">
        <v>9</v>
      </c>
      <c r="D10" s="237">
        <f>C10*B10</f>
        <v>3470.8500000000004</v>
      </c>
      <c r="E10" s="237">
        <f>D10/9.81</f>
        <v>353.8073394495413</v>
      </c>
      <c r="G10" s="237" t="s">
        <v>200</v>
      </c>
      <c r="H10" s="237">
        <f t="shared" ref="H10:H13" si="0">H11+$B$22</f>
        <v>19.7</v>
      </c>
      <c r="I10" s="237">
        <f>D10*H10</f>
        <v>68375.74500000001</v>
      </c>
      <c r="J10" s="65">
        <f>(I10/$I$16)*$B$23</f>
        <v>418.05992581325859</v>
      </c>
      <c r="K10" s="65">
        <f>J10</f>
        <v>418.05992581325859</v>
      </c>
      <c r="M10" s="237" t="s">
        <v>200</v>
      </c>
      <c r="N10" s="237">
        <f>$B$22</f>
        <v>3.2</v>
      </c>
      <c r="O10" s="237">
        <f>K10/I2</f>
        <v>39.950168996614707</v>
      </c>
      <c r="P10" s="267">
        <f>0.5*O10*N10</f>
        <v>63.920270394583532</v>
      </c>
      <c r="Q10" s="267">
        <f>P10/2</f>
        <v>31.960135197291766</v>
      </c>
      <c r="R10" s="237">
        <f>2*(Q10/B24)</f>
        <v>12.292359691266064</v>
      </c>
    </row>
    <row r="11" spans="1:18" x14ac:dyDescent="0.25">
      <c r="A11" s="237">
        <v>5</v>
      </c>
      <c r="B11" s="237">
        <f>$B$4</f>
        <v>312.8</v>
      </c>
      <c r="C11" s="237">
        <v>10</v>
      </c>
      <c r="D11" s="237">
        <f t="shared" ref="D11:D15" si="1">C11*B11</f>
        <v>3128</v>
      </c>
      <c r="E11" s="237">
        <f t="shared" ref="E11:E15" si="2">D11/9.81</f>
        <v>318.8583078491335</v>
      </c>
      <c r="G11" s="237">
        <v>5</v>
      </c>
      <c r="H11" s="237">
        <f t="shared" si="0"/>
        <v>16.5</v>
      </c>
      <c r="I11" s="237">
        <f t="shared" ref="I11:I15" si="3">D11*H11</f>
        <v>51612</v>
      </c>
      <c r="J11" s="65">
        <f t="shared" ref="J11:J15" si="4">(I11/$I$16)*$B$23</f>
        <v>315.56378495143127</v>
      </c>
      <c r="K11" s="65">
        <f>K10+J11</f>
        <v>733.6237107646898</v>
      </c>
      <c r="M11" s="237">
        <v>5</v>
      </c>
      <c r="N11" s="237">
        <f t="shared" ref="N11:N14" si="5">$B$22</f>
        <v>3.2</v>
      </c>
      <c r="O11" s="237">
        <f>K11/I3</f>
        <v>70.453475648115656</v>
      </c>
      <c r="P11" s="267">
        <f t="shared" ref="P11:P14" si="6">0.5*O11*N11</f>
        <v>112.72556103698506</v>
      </c>
      <c r="Q11" s="267">
        <f>(P10+P11)/2</f>
        <v>88.322915715784291</v>
      </c>
      <c r="R11" s="237">
        <f>((Q10+Q11)/$B$24)*2</f>
        <v>46.262711889644635</v>
      </c>
    </row>
    <row r="12" spans="1:18" x14ac:dyDescent="0.25">
      <c r="A12" s="237">
        <v>4</v>
      </c>
      <c r="B12" s="237">
        <f t="shared" ref="B12:B14" si="7">$B$4</f>
        <v>312.8</v>
      </c>
      <c r="C12" s="237">
        <v>10</v>
      </c>
      <c r="D12" s="237">
        <f t="shared" si="1"/>
        <v>3128</v>
      </c>
      <c r="E12" s="237">
        <f t="shared" si="2"/>
        <v>318.8583078491335</v>
      </c>
      <c r="G12" s="237">
        <v>4</v>
      </c>
      <c r="H12" s="237">
        <f t="shared" si="0"/>
        <v>13.3</v>
      </c>
      <c r="I12" s="237">
        <f t="shared" si="3"/>
        <v>41602.400000000001</v>
      </c>
      <c r="J12" s="65">
        <f t="shared" si="4"/>
        <v>254.36353574872942</v>
      </c>
      <c r="K12" s="65">
        <f t="shared" ref="K12:K15" si="8">K11+J12</f>
        <v>987.98724651341922</v>
      </c>
      <c r="M12" s="237">
        <v>4</v>
      </c>
      <c r="N12" s="237">
        <f t="shared" si="5"/>
        <v>3.2</v>
      </c>
      <c r="O12" s="237">
        <f>K12/I3</f>
        <v>94.881250962195992</v>
      </c>
      <c r="P12" s="267">
        <f t="shared" si="6"/>
        <v>151.81000153951359</v>
      </c>
      <c r="Q12" s="267">
        <f t="shared" ref="Q12:Q15" si="9">(P11+P12)/2</f>
        <v>132.26778128824932</v>
      </c>
      <c r="R12" s="237">
        <f t="shared" ref="R12:R15" si="10">((Q11+Q12)/$B$24)*2</f>
        <v>84.842575770782162</v>
      </c>
    </row>
    <row r="13" spans="1:18" x14ac:dyDescent="0.25">
      <c r="A13" s="237">
        <v>3</v>
      </c>
      <c r="B13" s="237">
        <f t="shared" si="7"/>
        <v>312.8</v>
      </c>
      <c r="C13" s="237">
        <v>10</v>
      </c>
      <c r="D13" s="237">
        <f t="shared" si="1"/>
        <v>3128</v>
      </c>
      <c r="E13" s="237">
        <f t="shared" si="2"/>
        <v>318.8583078491335</v>
      </c>
      <c r="G13" s="237">
        <v>3</v>
      </c>
      <c r="H13" s="237">
        <f t="shared" si="0"/>
        <v>10.100000000000001</v>
      </c>
      <c r="I13" s="237">
        <f t="shared" si="3"/>
        <v>31592.800000000003</v>
      </c>
      <c r="J13" s="65">
        <f t="shared" si="4"/>
        <v>193.16328654602762</v>
      </c>
      <c r="K13" s="65">
        <f t="shared" si="8"/>
        <v>1181.1505330594468</v>
      </c>
      <c r="M13" s="237">
        <v>3</v>
      </c>
      <c r="N13" s="237">
        <f t="shared" si="5"/>
        <v>3.2</v>
      </c>
      <c r="O13" s="237">
        <f>K13/I4</f>
        <v>114.299277385518</v>
      </c>
      <c r="P13" s="267">
        <f t="shared" si="6"/>
        <v>182.87884381682881</v>
      </c>
      <c r="Q13" s="267">
        <f t="shared" si="9"/>
        <v>167.34442267817121</v>
      </c>
      <c r="R13" s="237">
        <f t="shared" si="10"/>
        <v>115.2354630640079</v>
      </c>
    </row>
    <row r="14" spans="1:18" x14ac:dyDescent="0.25">
      <c r="A14" s="237">
        <v>2</v>
      </c>
      <c r="B14" s="237">
        <f t="shared" si="7"/>
        <v>312.8</v>
      </c>
      <c r="C14" s="237">
        <v>10</v>
      </c>
      <c r="D14" s="237">
        <f t="shared" si="1"/>
        <v>3128</v>
      </c>
      <c r="E14" s="237">
        <f t="shared" si="2"/>
        <v>318.8583078491335</v>
      </c>
      <c r="G14" s="237">
        <v>2</v>
      </c>
      <c r="H14" s="237">
        <f>H15+$B$22</f>
        <v>6.9</v>
      </c>
      <c r="I14" s="237">
        <f t="shared" si="3"/>
        <v>21583.200000000001</v>
      </c>
      <c r="J14" s="65">
        <f t="shared" si="4"/>
        <v>131.96303734332579</v>
      </c>
      <c r="K14" s="65">
        <f t="shared" si="8"/>
        <v>1313.1135704027727</v>
      </c>
      <c r="M14" s="237">
        <v>2</v>
      </c>
      <c r="N14" s="237">
        <f t="shared" si="5"/>
        <v>3.2</v>
      </c>
      <c r="O14" s="237">
        <f>K14/I4</f>
        <v>127.06926680496241</v>
      </c>
      <c r="P14" s="267">
        <f t="shared" si="6"/>
        <v>203.31082688793987</v>
      </c>
      <c r="Q14" s="267">
        <f t="shared" si="9"/>
        <v>193.09483535238434</v>
      </c>
      <c r="R14" s="237">
        <f t="shared" si="10"/>
        <v>138.63048385790597</v>
      </c>
    </row>
    <row r="15" spans="1:18" x14ac:dyDescent="0.25">
      <c r="A15" s="237">
        <v>1</v>
      </c>
      <c r="B15" s="237">
        <f>B5</f>
        <v>312.8</v>
      </c>
      <c r="C15" s="237">
        <v>10</v>
      </c>
      <c r="D15" s="237">
        <f t="shared" si="1"/>
        <v>3128</v>
      </c>
      <c r="E15" s="237">
        <f t="shared" si="2"/>
        <v>318.8583078491335</v>
      </c>
      <c r="G15" s="237">
        <v>1</v>
      </c>
      <c r="H15" s="237">
        <f>D22</f>
        <v>3.7</v>
      </c>
      <c r="I15" s="237">
        <f t="shared" si="3"/>
        <v>11573.6</v>
      </c>
      <c r="J15" s="65">
        <f t="shared" si="4"/>
        <v>70.762788140623968</v>
      </c>
      <c r="K15" s="65">
        <f t="shared" si="8"/>
        <v>1383.8763585433967</v>
      </c>
      <c r="M15" s="237" t="s">
        <v>201</v>
      </c>
      <c r="N15" s="237">
        <f>$B$22+0.5</f>
        <v>3.7</v>
      </c>
      <c r="O15" s="237">
        <f>K15/I5</f>
        <v>109.05191902468145</v>
      </c>
      <c r="P15" s="267">
        <f>O15*N15*0.4</f>
        <v>161.39684015652858</v>
      </c>
      <c r="Q15" s="267">
        <f t="shared" si="9"/>
        <v>182.35383352223423</v>
      </c>
      <c r="R15" s="237">
        <f t="shared" si="10"/>
        <v>144.40333418254559</v>
      </c>
    </row>
    <row r="16" spans="1:18" x14ac:dyDescent="0.25">
      <c r="A16" s="237" t="s">
        <v>83</v>
      </c>
      <c r="B16" s="237"/>
      <c r="C16" s="237"/>
      <c r="D16" s="237">
        <f>SUM(D10:D15)</f>
        <v>19110.849999999999</v>
      </c>
      <c r="E16" s="237">
        <f>SUM(E10:E15)</f>
        <v>1948.0988786952089</v>
      </c>
      <c r="G16" s="237" t="s">
        <v>83</v>
      </c>
      <c r="H16" s="237"/>
      <c r="I16" s="237">
        <f>SUM(I10:I15)</f>
        <v>226339.74500000002</v>
      </c>
      <c r="J16" s="237"/>
      <c r="K16" s="237"/>
      <c r="M16" s="237" t="s">
        <v>99</v>
      </c>
      <c r="N16" s="237"/>
      <c r="O16" s="237"/>
      <c r="P16" s="267">
        <f>0.6*N15*O15</f>
        <v>242.09526023479285</v>
      </c>
      <c r="Q16" s="267"/>
      <c r="R16" s="237"/>
    </row>
    <row r="19" spans="1:15" x14ac:dyDescent="0.25">
      <c r="A19" s="237" t="s">
        <v>84</v>
      </c>
      <c r="B19" s="237">
        <v>7.4999999999999997E-2</v>
      </c>
      <c r="G19" s="19" t="s">
        <v>107</v>
      </c>
      <c r="H19" s="20"/>
      <c r="I19" s="20"/>
      <c r="J19" s="20"/>
      <c r="K19" s="20"/>
      <c r="L19" s="21"/>
    </row>
    <row r="20" spans="1:15" x14ac:dyDescent="0.25">
      <c r="A20" s="237" t="s">
        <v>86</v>
      </c>
      <c r="B20" s="237">
        <f>(3.2*5)+3.7</f>
        <v>19.7</v>
      </c>
      <c r="C20" t="s">
        <v>96</v>
      </c>
      <c r="G20" s="231" t="s">
        <v>106</v>
      </c>
      <c r="H20" s="28"/>
      <c r="I20" s="28"/>
      <c r="J20" s="28"/>
      <c r="K20" s="28"/>
      <c r="L20" s="29"/>
    </row>
    <row r="21" spans="1:15" x14ac:dyDescent="0.25">
      <c r="A21" s="236" t="s">
        <v>85</v>
      </c>
      <c r="B21" s="257">
        <f>rigidezze!H35</f>
        <v>0.79396810039451493</v>
      </c>
      <c r="G21" s="237" t="s">
        <v>78</v>
      </c>
      <c r="H21" s="237" t="s">
        <v>91</v>
      </c>
      <c r="I21" s="237" t="s">
        <v>97</v>
      </c>
      <c r="J21" s="237" t="s">
        <v>100</v>
      </c>
      <c r="K21" s="237" t="s">
        <v>101</v>
      </c>
    </row>
    <row r="22" spans="1:15" x14ac:dyDescent="0.25">
      <c r="A22" s="237" t="s">
        <v>284</v>
      </c>
      <c r="B22" s="237">
        <v>3.2</v>
      </c>
      <c r="C22" s="237" t="s">
        <v>285</v>
      </c>
      <c r="D22" s="237">
        <f>3.7</f>
        <v>3.7</v>
      </c>
      <c r="G22" s="237" t="s">
        <v>200</v>
      </c>
      <c r="H22" s="237">
        <f>K10</f>
        <v>418.05992581325859</v>
      </c>
      <c r="I22" s="237">
        <f>1.2*O10</f>
        <v>47.940202795937644</v>
      </c>
      <c r="J22" s="237">
        <f>P10*1.2</f>
        <v>76.704324473500236</v>
      </c>
      <c r="K22" s="237">
        <f>Q10*1.2</f>
        <v>38.352162236750118</v>
      </c>
    </row>
    <row r="23" spans="1:15" x14ac:dyDescent="0.25">
      <c r="A23" s="237" t="s">
        <v>87</v>
      </c>
      <c r="B23" s="65">
        <f>0.85*D16*B28</f>
        <v>1383.8763585433967</v>
      </c>
      <c r="G23" s="237">
        <v>5</v>
      </c>
      <c r="H23" s="237">
        <f t="shared" ref="H23:H27" si="11">K11</f>
        <v>733.6237107646898</v>
      </c>
      <c r="I23" s="237">
        <f t="shared" ref="I23:I27" si="12">1.2*O11</f>
        <v>84.544170777738785</v>
      </c>
      <c r="J23" s="237">
        <f t="shared" ref="J23:K28" si="13">P11*1.2</f>
        <v>135.27067324438207</v>
      </c>
      <c r="K23" s="237">
        <f t="shared" si="13"/>
        <v>105.98749885894115</v>
      </c>
    </row>
    <row r="24" spans="1:15" x14ac:dyDescent="0.25">
      <c r="A24" s="237" t="s">
        <v>135</v>
      </c>
      <c r="B24" s="237">
        <v>5.2</v>
      </c>
      <c r="G24" s="237">
        <v>4</v>
      </c>
      <c r="H24" s="237">
        <f t="shared" si="11"/>
        <v>987.98724651341922</v>
      </c>
      <c r="I24" s="237">
        <f t="shared" si="12"/>
        <v>113.85750115463519</v>
      </c>
      <c r="J24" s="237">
        <f t="shared" si="13"/>
        <v>182.17200184741631</v>
      </c>
      <c r="K24" s="237">
        <f t="shared" si="13"/>
        <v>158.72133754589919</v>
      </c>
    </row>
    <row r="25" spans="1:15" x14ac:dyDescent="0.25">
      <c r="A25" s="237" t="s">
        <v>92</v>
      </c>
      <c r="B25" s="237">
        <v>27</v>
      </c>
      <c r="G25" s="237">
        <v>3</v>
      </c>
      <c r="H25" s="237">
        <f t="shared" si="11"/>
        <v>1181.1505330594468</v>
      </c>
      <c r="I25" s="237">
        <f t="shared" si="12"/>
        <v>137.15913286262159</v>
      </c>
      <c r="J25" s="237">
        <f t="shared" si="13"/>
        <v>219.45461258019455</v>
      </c>
      <c r="K25" s="237">
        <f t="shared" si="13"/>
        <v>200.81330721380544</v>
      </c>
    </row>
    <row r="26" spans="1:15" x14ac:dyDescent="0.25">
      <c r="A26" s="237" t="s">
        <v>93</v>
      </c>
      <c r="B26" s="237">
        <v>13</v>
      </c>
      <c r="G26" s="237">
        <v>2</v>
      </c>
      <c r="H26" s="237">
        <f t="shared" si="11"/>
        <v>1313.1135704027727</v>
      </c>
      <c r="I26" s="237">
        <f t="shared" si="12"/>
        <v>152.48312016595489</v>
      </c>
      <c r="J26" s="237">
        <f t="shared" si="13"/>
        <v>243.97299226552784</v>
      </c>
      <c r="K26" s="237">
        <f t="shared" si="13"/>
        <v>231.71380242286119</v>
      </c>
    </row>
    <row r="27" spans="1:15" x14ac:dyDescent="0.25">
      <c r="A27" s="237" t="s">
        <v>94</v>
      </c>
      <c r="B27" s="237">
        <v>12</v>
      </c>
      <c r="C27" s="243" t="s">
        <v>95</v>
      </c>
      <c r="D27" s="244"/>
      <c r="E27" s="239">
        <v>12</v>
      </c>
      <c r="G27" s="237" t="s">
        <v>201</v>
      </c>
      <c r="H27" s="237">
        <f t="shared" si="11"/>
        <v>1383.8763585433967</v>
      </c>
      <c r="I27" s="237">
        <f t="shared" si="12"/>
        <v>130.86230282961773</v>
      </c>
      <c r="J27" s="237">
        <f t="shared" si="13"/>
        <v>193.67620818783431</v>
      </c>
      <c r="K27" s="237">
        <f t="shared" si="13"/>
        <v>218.82460022668107</v>
      </c>
    </row>
    <row r="28" spans="1:15" x14ac:dyDescent="0.25">
      <c r="A28" s="237" t="s">
        <v>136</v>
      </c>
      <c r="B28" s="322">
        <f>[8]Dati!$D$28</f>
        <v>8.5191911065204684E-2</v>
      </c>
      <c r="C28" t="s">
        <v>204</v>
      </c>
      <c r="G28" s="237" t="s">
        <v>99</v>
      </c>
      <c r="H28" s="237"/>
      <c r="I28" s="237"/>
      <c r="J28" s="237">
        <f t="shared" si="13"/>
        <v>290.51431228175142</v>
      </c>
      <c r="K28" s="237"/>
    </row>
    <row r="30" spans="1:15" x14ac:dyDescent="0.25">
      <c r="G30" s="19" t="s">
        <v>108</v>
      </c>
      <c r="H30" s="20"/>
      <c r="I30" s="20"/>
      <c r="J30" s="20"/>
      <c r="K30" s="21"/>
    </row>
    <row r="31" spans="1:15" x14ac:dyDescent="0.25">
      <c r="G31" s="231" t="s">
        <v>122</v>
      </c>
      <c r="H31" s="28"/>
      <c r="I31" s="28"/>
      <c r="J31" s="28"/>
      <c r="K31" s="29"/>
      <c r="N31" s="275" t="s">
        <v>337</v>
      </c>
      <c r="O31" s="121"/>
    </row>
    <row r="32" spans="1:15" x14ac:dyDescent="0.25">
      <c r="G32" s="237" t="s">
        <v>78</v>
      </c>
      <c r="H32" s="237" t="s">
        <v>91</v>
      </c>
      <c r="I32" s="237" t="s">
        <v>97</v>
      </c>
      <c r="J32" s="237" t="s">
        <v>100</v>
      </c>
      <c r="K32" s="237" t="s">
        <v>101</v>
      </c>
      <c r="N32" s="274" t="s">
        <v>100</v>
      </c>
    </row>
    <row r="33" spans="1:14" x14ac:dyDescent="0.25">
      <c r="G33" s="237" t="s">
        <v>200</v>
      </c>
      <c r="H33" s="237">
        <f>H22</f>
        <v>418.05992581325859</v>
      </c>
      <c r="I33" s="237">
        <f>I22</f>
        <v>47.940202795937644</v>
      </c>
      <c r="J33" s="237">
        <f>$J$22*1.5</f>
        <v>115.05648671025035</v>
      </c>
      <c r="K33" s="237">
        <f>K22</f>
        <v>38.352162236750118</v>
      </c>
      <c r="N33" s="15">
        <f>P10*1.5</f>
        <v>95.880405591875302</v>
      </c>
    </row>
    <row r="34" spans="1:14" x14ac:dyDescent="0.25">
      <c r="G34" s="237">
        <v>5</v>
      </c>
      <c r="H34" s="237">
        <f t="shared" ref="H34:I38" si="14">H23</f>
        <v>733.6237107646898</v>
      </c>
      <c r="I34" s="237">
        <f t="shared" si="14"/>
        <v>84.544170777738785</v>
      </c>
      <c r="J34" s="237">
        <f>$J$23*1.5</f>
        <v>202.9060098665731</v>
      </c>
      <c r="K34" s="237">
        <f t="shared" ref="K34:K38" si="15">K23</f>
        <v>105.98749885894115</v>
      </c>
      <c r="N34" s="15">
        <f t="shared" ref="N34:N39" si="16">P11*1.5</f>
        <v>169.0883415554776</v>
      </c>
    </row>
    <row r="35" spans="1:14" x14ac:dyDescent="0.25">
      <c r="G35" s="237">
        <v>4</v>
      </c>
      <c r="H35" s="237">
        <f t="shared" si="14"/>
        <v>987.98724651341922</v>
      </c>
      <c r="I35" s="237">
        <f t="shared" si="14"/>
        <v>113.85750115463519</v>
      </c>
      <c r="J35" s="237">
        <f>$J$24*1.5</f>
        <v>273.25800277112444</v>
      </c>
      <c r="K35" s="237">
        <f t="shared" si="15"/>
        <v>158.72133754589919</v>
      </c>
      <c r="N35" s="15">
        <f t="shared" si="16"/>
        <v>227.7150023092704</v>
      </c>
    </row>
    <row r="36" spans="1:14" x14ac:dyDescent="0.25">
      <c r="G36" s="237">
        <v>3</v>
      </c>
      <c r="H36" s="237">
        <f t="shared" si="14"/>
        <v>1181.1505330594468</v>
      </c>
      <c r="I36" s="237">
        <f t="shared" si="14"/>
        <v>137.15913286262159</v>
      </c>
      <c r="J36" s="237">
        <f>$J$25*1.5</f>
        <v>329.18191887029184</v>
      </c>
      <c r="K36" s="237">
        <f t="shared" si="15"/>
        <v>200.81330721380544</v>
      </c>
      <c r="N36" s="15">
        <f t="shared" si="16"/>
        <v>274.31826572524324</v>
      </c>
    </row>
    <row r="37" spans="1:14" x14ac:dyDescent="0.25">
      <c r="G37" s="237">
        <v>2</v>
      </c>
      <c r="H37" s="237">
        <f t="shared" si="14"/>
        <v>1313.1135704027727</v>
      </c>
      <c r="I37" s="237">
        <f t="shared" si="14"/>
        <v>152.48312016595489</v>
      </c>
      <c r="J37" s="237">
        <f>$J$26*1.5</f>
        <v>365.95948839829174</v>
      </c>
      <c r="K37" s="237">
        <f t="shared" si="15"/>
        <v>231.71380242286119</v>
      </c>
      <c r="N37" s="15">
        <f t="shared" si="16"/>
        <v>304.96624033190983</v>
      </c>
    </row>
    <row r="38" spans="1:14" x14ac:dyDescent="0.25">
      <c r="G38" s="237" t="s">
        <v>201</v>
      </c>
      <c r="H38" s="237">
        <f t="shared" si="14"/>
        <v>1383.8763585433967</v>
      </c>
      <c r="I38" s="237">
        <f t="shared" si="14"/>
        <v>130.86230282961773</v>
      </c>
      <c r="J38" s="237">
        <f>$J$27*1.5</f>
        <v>290.51431228175147</v>
      </c>
      <c r="K38" s="237">
        <f t="shared" si="15"/>
        <v>218.82460022668107</v>
      </c>
      <c r="N38" s="15">
        <f t="shared" si="16"/>
        <v>242.09526023479287</v>
      </c>
    </row>
    <row r="39" spans="1:14" x14ac:dyDescent="0.25">
      <c r="G39" s="237" t="s">
        <v>99</v>
      </c>
      <c r="H39" s="237"/>
      <c r="I39" s="237"/>
      <c r="J39" s="237">
        <f>$J$28</f>
        <v>290.51431228175142</v>
      </c>
      <c r="K39" s="237"/>
      <c r="N39" s="15">
        <f t="shared" si="16"/>
        <v>363.14289035218928</v>
      </c>
    </row>
    <row r="41" spans="1:14" x14ac:dyDescent="0.25">
      <c r="A41" s="245" t="s">
        <v>109</v>
      </c>
      <c r="B41" s="246"/>
      <c r="C41" s="246"/>
      <c r="D41" s="246"/>
      <c r="E41" s="246"/>
      <c r="F41" s="246"/>
      <c r="G41" s="247"/>
    </row>
    <row r="42" spans="1:14" x14ac:dyDescent="0.25">
      <c r="A42" s="22" t="s">
        <v>110</v>
      </c>
      <c r="B42" s="12"/>
      <c r="C42" s="12"/>
      <c r="D42" s="12"/>
      <c r="E42" s="12"/>
      <c r="F42" s="12"/>
      <c r="G42" s="248"/>
    </row>
    <row r="43" spans="1:14" x14ac:dyDescent="0.25">
      <c r="A43" s="22" t="s">
        <v>113</v>
      </c>
      <c r="B43" s="12">
        <f>'analisi dei carichi'!G57</f>
        <v>86.7913014592</v>
      </c>
      <c r="C43" s="12"/>
      <c r="D43" s="12"/>
      <c r="E43" s="12"/>
      <c r="F43" s="12"/>
      <c r="G43" s="248"/>
    </row>
    <row r="44" spans="1:14" x14ac:dyDescent="0.25">
      <c r="A44" s="22" t="s">
        <v>111</v>
      </c>
      <c r="B44" s="12"/>
      <c r="C44" s="12" t="s">
        <v>123</v>
      </c>
      <c r="D44" s="12"/>
      <c r="E44" s="12"/>
      <c r="F44" s="12"/>
      <c r="G44" s="248"/>
    </row>
    <row r="45" spans="1:14" x14ac:dyDescent="0.25">
      <c r="A45" s="22" t="s">
        <v>113</v>
      </c>
      <c r="B45" s="12">
        <f>K38</f>
        <v>218.82460022668107</v>
      </c>
      <c r="C45" s="12"/>
      <c r="D45" s="12"/>
      <c r="E45" s="12"/>
      <c r="F45" s="12"/>
      <c r="G45" s="248"/>
    </row>
    <row r="46" spans="1:14" x14ac:dyDescent="0.25">
      <c r="A46" s="22" t="s">
        <v>112</v>
      </c>
      <c r="B46" s="12"/>
      <c r="C46" s="12"/>
      <c r="D46" s="12"/>
      <c r="E46" s="12"/>
      <c r="F46" s="12"/>
      <c r="G46" s="248"/>
    </row>
    <row r="47" spans="1:14" x14ac:dyDescent="0.25">
      <c r="A47" s="22" t="s">
        <v>296</v>
      </c>
      <c r="B47" s="12">
        <f>B43+B45</f>
        <v>305.61590168588106</v>
      </c>
      <c r="C47" s="12"/>
      <c r="D47" s="12"/>
      <c r="E47" s="12"/>
      <c r="F47" s="12"/>
      <c r="G47" s="248"/>
    </row>
    <row r="48" spans="1:14" x14ac:dyDescent="0.25">
      <c r="A48" s="22" t="s">
        <v>297</v>
      </c>
      <c r="B48" s="12">
        <v>25</v>
      </c>
      <c r="C48" s="12" t="s">
        <v>116</v>
      </c>
      <c r="D48" s="12"/>
      <c r="E48" s="12"/>
      <c r="F48" s="12"/>
      <c r="G48" s="248"/>
    </row>
    <row r="49" spans="1:8" x14ac:dyDescent="0.25">
      <c r="A49" s="22" t="s">
        <v>117</v>
      </c>
      <c r="B49" s="12">
        <f>'analisi dei carichi'!P12</f>
        <v>0.3</v>
      </c>
      <c r="C49" s="12" t="s">
        <v>121</v>
      </c>
      <c r="D49" s="12"/>
      <c r="E49" s="12"/>
      <c r="F49" s="12"/>
      <c r="G49" s="248"/>
    </row>
    <row r="50" spans="1:8" x14ac:dyDescent="0.25">
      <c r="A50" s="22" t="s">
        <v>118</v>
      </c>
      <c r="B50" s="12">
        <v>0.04</v>
      </c>
      <c r="C50" s="12" t="s">
        <v>121</v>
      </c>
      <c r="D50" s="12"/>
      <c r="E50" s="12"/>
      <c r="F50" s="12"/>
      <c r="G50" s="248"/>
    </row>
    <row r="51" spans="1:8" x14ac:dyDescent="0.25">
      <c r="A51" s="22" t="s">
        <v>120</v>
      </c>
      <c r="B51" s="12">
        <v>1.7999999999999999E-2</v>
      </c>
      <c r="C51" s="12"/>
      <c r="D51" s="12"/>
      <c r="E51" s="12"/>
      <c r="F51" s="12"/>
      <c r="G51" s="248"/>
    </row>
    <row r="52" spans="1:8" x14ac:dyDescent="0.25">
      <c r="A52" s="22" t="s">
        <v>119</v>
      </c>
      <c r="B52" s="12">
        <f>B51*SQRT(B47/B49)</f>
        <v>0.57451298838298814</v>
      </c>
      <c r="C52" s="12" t="s">
        <v>304</v>
      </c>
      <c r="D52" s="12"/>
      <c r="E52" s="12"/>
      <c r="F52" s="12" t="s">
        <v>252</v>
      </c>
      <c r="G52" s="248"/>
    </row>
    <row r="53" spans="1:8" x14ac:dyDescent="0.25">
      <c r="A53" s="249" t="s">
        <v>277</v>
      </c>
      <c r="B53" s="250"/>
      <c r="C53" s="250"/>
      <c r="D53" s="250"/>
      <c r="E53" s="250"/>
      <c r="F53" s="250"/>
      <c r="G53" s="251"/>
    </row>
    <row r="55" spans="1:8" x14ac:dyDescent="0.25">
      <c r="B55" s="421" t="s">
        <v>124</v>
      </c>
      <c r="C55" s="422"/>
      <c r="D55" s="237"/>
      <c r="E55" s="237" t="s">
        <v>179</v>
      </c>
      <c r="F55" s="237"/>
      <c r="G55" s="237" t="s">
        <v>178</v>
      </c>
      <c r="H55" s="237" t="s">
        <v>173</v>
      </c>
    </row>
    <row r="56" spans="1:8" x14ac:dyDescent="0.25">
      <c r="B56" s="237" t="s">
        <v>78</v>
      </c>
      <c r="C56" s="237" t="s">
        <v>100</v>
      </c>
      <c r="D56" s="237" t="s">
        <v>102</v>
      </c>
      <c r="E56" s="237" t="str">
        <f>'analisi dei carichi'!D88</f>
        <v>pilastro 22</v>
      </c>
      <c r="F56" s="237" t="str">
        <f>'analisi dei carichi'!E88</f>
        <v>pilastro 4</v>
      </c>
      <c r="G56" s="237" t="s">
        <v>202</v>
      </c>
      <c r="H56" s="237" t="s">
        <v>203</v>
      </c>
    </row>
    <row r="57" spans="1:8" x14ac:dyDescent="0.25">
      <c r="B57" s="237" t="s">
        <v>200</v>
      </c>
      <c r="C57" s="138">
        <f>$J$22*1.5</f>
        <v>115.05648671025035</v>
      </c>
      <c r="D57" s="138">
        <f>R10</f>
        <v>12.292359691266064</v>
      </c>
      <c r="E57" s="138">
        <f>'analisi dei carichi'!D89</f>
        <v>227.17564186636801</v>
      </c>
      <c r="F57" s="138">
        <f>'analisi dei carichi'!E89</f>
        <v>47.623890623999998</v>
      </c>
      <c r="G57" s="138">
        <f>E57+D57</f>
        <v>239.46800155763407</v>
      </c>
      <c r="H57" s="138">
        <f>F57-D57</f>
        <v>35.331530932733934</v>
      </c>
    </row>
    <row r="58" spans="1:8" x14ac:dyDescent="0.25">
      <c r="B58" s="237">
        <v>5</v>
      </c>
      <c r="C58" s="138">
        <f>$J$23*1.5</f>
        <v>202.9060098665731</v>
      </c>
      <c r="D58" s="138">
        <f t="shared" ref="D58:D62" si="17">R11</f>
        <v>46.262711889644635</v>
      </c>
      <c r="E58" s="138">
        <f>'analisi dei carichi'!D90</f>
        <v>454.35128373273602</v>
      </c>
      <c r="F58" s="138">
        <f>'analisi dei carichi'!E90</f>
        <v>95.247781247999995</v>
      </c>
      <c r="G58" s="138">
        <f t="shared" ref="G58:G62" si="18">E58+D58</f>
        <v>500.61399562238068</v>
      </c>
      <c r="H58" s="138">
        <f t="shared" ref="H58:H62" si="19">F58-D58</f>
        <v>48.985069358355361</v>
      </c>
    </row>
    <row r="59" spans="1:8" x14ac:dyDescent="0.25">
      <c r="B59" s="237">
        <v>4</v>
      </c>
      <c r="C59" s="138">
        <f>$J$24*1.5</f>
        <v>273.25800277112444</v>
      </c>
      <c r="D59" s="138">
        <f t="shared" si="17"/>
        <v>84.842575770782162</v>
      </c>
      <c r="E59" s="138">
        <f>'analisi dei carichi'!D91</f>
        <v>681.52692559910406</v>
      </c>
      <c r="F59" s="138">
        <f>'analisi dei carichi'!E91</f>
        <v>142.87167187199998</v>
      </c>
      <c r="G59" s="138">
        <f t="shared" si="18"/>
        <v>766.36950136988617</v>
      </c>
      <c r="H59" s="138">
        <f t="shared" si="19"/>
        <v>58.029096101217817</v>
      </c>
    </row>
    <row r="60" spans="1:8" x14ac:dyDescent="0.25">
      <c r="B60" s="237">
        <v>3</v>
      </c>
      <c r="C60" s="138">
        <f>$J$25*1.5</f>
        <v>329.18191887029184</v>
      </c>
      <c r="D60" s="138">
        <f t="shared" si="17"/>
        <v>115.2354630640079</v>
      </c>
      <c r="E60" s="138">
        <f>'analisi dei carichi'!D92</f>
        <v>908.70256746547204</v>
      </c>
      <c r="F60" s="138">
        <f>'analisi dei carichi'!E92</f>
        <v>190.49556249599999</v>
      </c>
      <c r="G60" s="138">
        <f t="shared" si="18"/>
        <v>1023.93803052948</v>
      </c>
      <c r="H60" s="138">
        <f t="shared" si="19"/>
        <v>75.260099431992089</v>
      </c>
    </row>
    <row r="61" spans="1:8" x14ac:dyDescent="0.25">
      <c r="B61" s="237">
        <v>2</v>
      </c>
      <c r="C61" s="138">
        <f>$J$26*1.5</f>
        <v>365.95948839829174</v>
      </c>
      <c r="D61" s="138">
        <f t="shared" si="17"/>
        <v>138.63048385790597</v>
      </c>
      <c r="E61" s="138">
        <f>'analisi dei carichi'!D93</f>
        <v>1135.87820933184</v>
      </c>
      <c r="F61" s="138">
        <f>'analisi dei carichi'!E93</f>
        <v>238.11945312</v>
      </c>
      <c r="G61" s="138">
        <f t="shared" si="18"/>
        <v>1274.5086931897461</v>
      </c>
      <c r="H61" s="138">
        <f t="shared" si="19"/>
        <v>99.488969262094031</v>
      </c>
    </row>
    <row r="62" spans="1:8" x14ac:dyDescent="0.25">
      <c r="B62" s="237">
        <v>1</v>
      </c>
      <c r="C62" s="138">
        <f>$J$27*1.5</f>
        <v>290.51431228175147</v>
      </c>
      <c r="D62" s="138">
        <f t="shared" si="17"/>
        <v>144.40333418254559</v>
      </c>
      <c r="E62" s="138">
        <f>'analisi dei carichi'!D94</f>
        <v>1363.0538511982081</v>
      </c>
      <c r="F62" s="138">
        <f>'analisi dei carichi'!E94</f>
        <v>285.74334374399996</v>
      </c>
      <c r="G62" s="138">
        <f t="shared" si="18"/>
        <v>1507.4571853807538</v>
      </c>
      <c r="H62" s="138">
        <f t="shared" si="19"/>
        <v>141.34000956145437</v>
      </c>
    </row>
    <row r="63" spans="1:8" x14ac:dyDescent="0.25">
      <c r="B63" s="237"/>
      <c r="C63" s="138">
        <f>$J$28</f>
        <v>290.51431228175142</v>
      </c>
      <c r="D63" s="138"/>
      <c r="E63" s="138"/>
      <c r="F63" s="138"/>
      <c r="G63" s="138"/>
      <c r="H63" s="138"/>
    </row>
    <row r="66" spans="3:4" x14ac:dyDescent="0.25">
      <c r="C66" s="240"/>
      <c r="D66" s="91"/>
    </row>
    <row r="67" spans="3:4" x14ac:dyDescent="0.25">
      <c r="C67" s="240"/>
      <c r="D67" s="91"/>
    </row>
    <row r="68" spans="3:4" x14ac:dyDescent="0.25">
      <c r="C68" s="240"/>
      <c r="D68" s="91"/>
    </row>
    <row r="69" spans="3:4" x14ac:dyDescent="0.25">
      <c r="C69" s="240"/>
      <c r="D69" s="91"/>
    </row>
    <row r="70" spans="3:4" x14ac:dyDescent="0.25">
      <c r="C70" s="240"/>
      <c r="D70" s="91"/>
    </row>
    <row r="71" spans="3:4" x14ac:dyDescent="0.25">
      <c r="C71" s="240"/>
      <c r="D71" s="91"/>
    </row>
    <row r="72" spans="3:4" x14ac:dyDescent="0.25">
      <c r="C72" s="240"/>
      <c r="D72" s="91"/>
    </row>
    <row r="73" spans="3:4" x14ac:dyDescent="0.25">
      <c r="C73" s="240"/>
      <c r="D73" s="91"/>
    </row>
  </sheetData>
  <mergeCells count="1">
    <mergeCell ref="B55:C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analisi dei carichi</vt:lpstr>
      <vt:lpstr>masse e forze</vt:lpstr>
      <vt:lpstr>rigidezze</vt:lpstr>
      <vt:lpstr>rig piano tipo</vt:lpstr>
      <vt:lpstr>rig piano terra</vt:lpstr>
      <vt:lpstr>rig terrazza</vt:lpstr>
      <vt:lpstr>rig p.5</vt:lpstr>
      <vt:lpstr>Trave 115</vt:lpstr>
      <vt:lpstr>Fx</vt:lpstr>
      <vt:lpstr>Fy</vt:lpstr>
      <vt:lpstr>Confronto p-s err</vt:lpstr>
      <vt:lpstr>spostamenti x y </vt:lpstr>
      <vt:lpstr>Confronto p-s-m err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</dc:creator>
  <cp:lastModifiedBy>utente</cp:lastModifiedBy>
  <dcterms:created xsi:type="dcterms:W3CDTF">2016-11-13T07:58:54Z</dcterms:created>
  <dcterms:modified xsi:type="dcterms:W3CDTF">2017-02-16T19:42:43Z</dcterms:modified>
</cp:coreProperties>
</file>